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15480" windowHeight="5505" activeTab="1"/>
  </bookViews>
  <sheets>
    <sheet name="индивидуальные" sheetId="1" r:id="rId1"/>
    <sheet name="котловые" sheetId="2" r:id="rId2"/>
  </sheets>
  <definedNames>
    <definedName name="_xlnm.Print_Area" localSheetId="0">'индивидуальные'!$A$3:$H$53</definedName>
    <definedName name="_xlnm.Print_Area" localSheetId="1">'котловые'!$A$1:$H$54</definedName>
  </definedNames>
  <calcPr fullCalcOnLoad="1"/>
</workbook>
</file>

<file path=xl/comments1.xml><?xml version="1.0" encoding="utf-8"?>
<comments xmlns="http://schemas.openxmlformats.org/spreadsheetml/2006/main">
  <authors>
    <author>Denisevich.GY</author>
  </authors>
  <commentList>
    <comment ref="I342" authorId="0">
      <text>
        <r>
          <rPr>
            <b/>
            <sz val="8"/>
            <rFont val="Tahoma"/>
            <family val="2"/>
          </rPr>
          <t>Denisevich.GY:</t>
        </r>
        <r>
          <rPr>
            <sz val="8"/>
            <rFont val="Tahoma"/>
            <family val="2"/>
          </rPr>
          <t xml:space="preserve">
действуют с 15.07.2014</t>
        </r>
      </text>
    </comment>
    <comment ref="I343" authorId="0">
      <text>
        <r>
          <rPr>
            <b/>
            <sz val="8"/>
            <rFont val="Tahoma"/>
            <family val="2"/>
          </rPr>
          <t>Denisevich.GY:</t>
        </r>
        <r>
          <rPr>
            <sz val="8"/>
            <rFont val="Tahoma"/>
            <family val="2"/>
          </rPr>
          <t xml:space="preserve">
действуют с 01.10.2014</t>
        </r>
      </text>
    </comment>
  </commentList>
</comments>
</file>

<file path=xl/sharedStrings.xml><?xml version="1.0" encoding="utf-8"?>
<sst xmlns="http://schemas.openxmlformats.org/spreadsheetml/2006/main" count="1940" uniqueCount="642">
  <si>
    <t>Ставка за содержание электрических сетей (руб./МВт. Мес.)</t>
  </si>
  <si>
    <t>Ставка за оплату потерь э/э  в сетях (руб./МВт*ч)</t>
  </si>
  <si>
    <t>ВН</t>
  </si>
  <si>
    <t>СН1</t>
  </si>
  <si>
    <t>СН2</t>
  </si>
  <si>
    <t>НН</t>
  </si>
  <si>
    <t>№</t>
  </si>
  <si>
    <t>№, дата принятия тарифного решения</t>
  </si>
  <si>
    <t>Наименование организации</t>
  </si>
  <si>
    <t>Ставка на содержание</t>
  </si>
  <si>
    <t>Ставка на оплату потерь э/э</t>
  </si>
  <si>
    <t>Одноставочный тариф</t>
  </si>
  <si>
    <t>руб./МВт.мес.</t>
  </si>
  <si>
    <t>руб./МВт.ч.</t>
  </si>
  <si>
    <t>Одноставочный тариф (руб./МВт*ч)</t>
  </si>
  <si>
    <t xml:space="preserve">N, дата тарифного решения/группа потребителей </t>
  </si>
  <si>
    <t>Единые (котловые) тарифы на услуги по передаче э/э</t>
  </si>
  <si>
    <t>ОАО "МРСК Центра"</t>
  </si>
  <si>
    <t>ТМ-передача</t>
  </si>
  <si>
    <t>Двуставочный тариф</t>
  </si>
  <si>
    <t>Дата публикации</t>
  </si>
  <si>
    <t>Источник публикации</t>
  </si>
  <si>
    <t>ТМ-передача-индивид.</t>
  </si>
  <si>
    <t>1 полугодие 2014 года</t>
  </si>
  <si>
    <t>2 полугодие 2014 года</t>
  </si>
  <si>
    <t>1-ое полугодие 2014 года</t>
  </si>
  <si>
    <t>2-ое полугодие 2014 года</t>
  </si>
  <si>
    <t>ВН1</t>
  </si>
  <si>
    <t>1. Прочие потребители</t>
  </si>
  <si>
    <t>2. Население и приравненные к нему категории потребителей</t>
  </si>
  <si>
    <t>2.2. Население, проживающее в городских населённых пунктах в домах, оборудованных в установленном порядке стационарными электроплитами и (или) электроотопительными установками, и сельских населённых пунктах</t>
  </si>
  <si>
    <t>2.1. Население, за исключением указанного в пункте 2.2</t>
  </si>
  <si>
    <t>х</t>
  </si>
  <si>
    <t>ООО «Брянскоблэлектро»</t>
  </si>
  <si>
    <t>Московская дирекция по энергообеспечению Трансэнерго филиала ОАО "РЖД"</t>
  </si>
  <si>
    <t>ОАО "Жилкомхоз"</t>
  </si>
  <si>
    <t>ООО "ТранснефтьЭлектросетьСервис"</t>
  </si>
  <si>
    <t>ООО "Коминформ"</t>
  </si>
  <si>
    <t>ОАО "Брянский химический завод им. 50-летия СССР"</t>
  </si>
  <si>
    <t>ЗАО "АИП-Фосфаты"</t>
  </si>
  <si>
    <t>ООО "Металлсервис-Брянск"</t>
  </si>
  <si>
    <t>ЗАО "Брянский Автомобильный Завод"</t>
  </si>
  <si>
    <t xml:space="preserve">ОАО "Брянский Электромеханический Завод" </t>
  </si>
  <si>
    <t>ОАО «85 ремонтный завод»</t>
  </si>
  <si>
    <t>ООО "Линия"</t>
  </si>
  <si>
    <t>ОАО "Брянский мясокомбинат"</t>
  </si>
  <si>
    <t>ОАО "Электроаппарат"</t>
  </si>
  <si>
    <t>ЗАО "Группа Кремний Эл"</t>
  </si>
  <si>
    <t>ЗАО «ПО «Ирмаш»</t>
  </si>
  <si>
    <t>ООО "ГПП "Литий"</t>
  </si>
  <si>
    <t>МУП "Жилье"</t>
  </si>
  <si>
    <t>ООО "Дятьковский хрустальный Завод"</t>
  </si>
  <si>
    <t>ООО "Брянский завод строительных конструкций"</t>
  </si>
  <si>
    <t>ОАО "Брянский Завод Металлоконструкций и Технологической Оснастки"</t>
  </si>
  <si>
    <t>ООО "УК "БЗКПД"</t>
  </si>
  <si>
    <t>ОАО "Карачевский завод "Электродеталь"</t>
  </si>
  <si>
    <t>ОАО "Брянский арсенал"</t>
  </si>
  <si>
    <t>ООО "Содружество"</t>
  </si>
  <si>
    <t>ЗАО "Лесхозмаш-Брянск"</t>
  </si>
  <si>
    <t>ОАО "Оборонэнерго"</t>
  </si>
  <si>
    <t>ЗАО "Брянский завод силикатного кирпича"</t>
  </si>
  <si>
    <t>ООО "Станкостроитель"</t>
  </si>
  <si>
    <t>ООО "Брянский камвольный комбинат"</t>
  </si>
  <si>
    <t>ЗАО "Метаклэй"</t>
  </si>
  <si>
    <t>ОАО "Селецкий ДОК"</t>
  </si>
  <si>
    <t>МКП "Карачевская Машинно-технологическая Станция"</t>
  </si>
  <si>
    <t>ФГБОУ ВПО "Брянская ГСХА"</t>
  </si>
  <si>
    <t>ОАО "192 Центральный завод железнодорожной техники"</t>
  </si>
  <si>
    <t>ОАО "Глинищеворемтехпред"</t>
  </si>
  <si>
    <t>ООО "Нефтяная компания "Русснефть-Брянск"</t>
  </si>
  <si>
    <t>ОАО "Стройсервис"</t>
  </si>
  <si>
    <t>ООО "Стройлессервис"</t>
  </si>
  <si>
    <t>Информационно-аналитический бюллетень «Официальная Брянщина»</t>
  </si>
  <si>
    <t>ООО "Электросеть - Сервис"</t>
  </si>
  <si>
    <t>№ 15/2-э от 28.05.2013 г.</t>
  </si>
  <si>
    <t>№ 47/3-э от 30.12.2013 г.</t>
  </si>
  <si>
    <t>№55/5  от 20.12.2013г.</t>
  </si>
  <si>
    <t>№13/624  от 27.12.2013</t>
  </si>
  <si>
    <t>"СП-нормативные документы"
№1-2(469)</t>
  </si>
  <si>
    <t xml:space="preserve">28.12.2013г. </t>
  </si>
  <si>
    <t>"Воронежский курьер" №147</t>
  </si>
  <si>
    <t>МУП "Воронежская горэлектросеть"</t>
  </si>
  <si>
    <t>МУП "Бобровская горэлектросеть"</t>
  </si>
  <si>
    <t>МУП "Борисоглебская горэлектросеть"</t>
  </si>
  <si>
    <t>МУП "Бутурлиновская городская электросеть"</t>
  </si>
  <si>
    <t>МУП городского округа – город Нововоронеж "Городские электрические сети"</t>
  </si>
  <si>
    <t>МУП "Лискинская горэлектросеть"</t>
  </si>
  <si>
    <t>МУП "Острогожская горэлектросеть"</t>
  </si>
  <si>
    <t xml:space="preserve">МУП г. Россоши "Городские электрические сети" </t>
  </si>
  <si>
    <t xml:space="preserve">Филиал ОАО "Концерн Росэнергоатом" "Нововоронежская атомная станция" </t>
  </si>
  <si>
    <t>ООО "Электротехническое управление"</t>
  </si>
  <si>
    <t>ООО "Энергия" Кантемировка</t>
  </si>
  <si>
    <t>Павловское МУПП "Энергетик"</t>
  </si>
  <si>
    <t>ОАО "Воронежское рудоуправление"</t>
  </si>
  <si>
    <t>ЗАО "Воронежский конденсаторный завод"</t>
  </si>
  <si>
    <t>ОАО "Электроприбор"</t>
  </si>
  <si>
    <t>ОАО "Воронежсинтезкаучук"</t>
  </si>
  <si>
    <t>ООО "162 КЖИ"</t>
  </si>
  <si>
    <t>ОАО "Автоген"</t>
  </si>
  <si>
    <t>ЗАО "Воронежстальмост"</t>
  </si>
  <si>
    <t>ОАО "ВЭКС" Воронежский экскаватор</t>
  </si>
  <si>
    <t>ОАО "Евдаковский масложировой комбинат"</t>
  </si>
  <si>
    <t>ОАО "Минудобрения"</t>
  </si>
  <si>
    <t>ООО "Сетевая компания "Тенистый"</t>
  </si>
  <si>
    <t>ООО "Энерговид"</t>
  </si>
  <si>
    <t>ОАО "Авиакомпания "Воронежавиа"</t>
  </si>
  <si>
    <t>Воронежский тепловозоремонтный завод-филиал                                                                  ОАО "Желдорреммаш"</t>
  </si>
  <si>
    <t>ЗАО "Воронежское монтажное управление -2"</t>
  </si>
  <si>
    <t>ОАО "ВЗПП - Сборка"</t>
  </si>
  <si>
    <t>ООО "Энергосетевая компания"</t>
  </si>
  <si>
    <t>Потребительское общество "Опторг"</t>
  </si>
  <si>
    <t>ООО Производственно – коммерческая фирма "Обувьбыт"</t>
  </si>
  <si>
    <t>ООО "ТеплоЭнергоГаз"</t>
  </si>
  <si>
    <t>ЗАО "Лискимонтажконструкция"</t>
  </si>
  <si>
    <t>ОАО "Конструкторское бюро химавтоматики"</t>
  </si>
  <si>
    <t>ООО "УГМК Рудгормаш-Воронеж"</t>
  </si>
  <si>
    <t>ОАО "Электросигнал"</t>
  </si>
  <si>
    <t>ОАО "Латненский элеватор"</t>
  </si>
  <si>
    <t>ООО "ЭЛЬГРОН"</t>
  </si>
  <si>
    <t>ООО ПКФ "Экватор"</t>
  </si>
  <si>
    <t>ИП Каверзин Р.А.</t>
  </si>
  <si>
    <t>ООО "Донская Энергосетевая Компания"</t>
  </si>
  <si>
    <t>ООО "ИСК "Финист"</t>
  </si>
  <si>
    <t>ООО "Энергетик-1"</t>
  </si>
  <si>
    <t>ООО "ЭнергоПрофи"</t>
  </si>
  <si>
    <t>филиал Юго-Западный ОАО "Оборонэнерго"</t>
  </si>
  <si>
    <t>ООО "Группа Компаний ЭНЕРГОТЕХСЕРВИС"</t>
  </si>
  <si>
    <t>Филиал ОАО "Концерн Росэнергоатом" "Дирекция строящейся Воронежской атомной станции теплоснабжения"</t>
  </si>
  <si>
    <t>ООО "Вязноватовка"</t>
  </si>
  <si>
    <t>ООО "Газпром энерго"</t>
  </si>
  <si>
    <t>Юго – Восточная дирекция по энергообеспечению – сп Трансэнерго - филиала ОАО "РЖД"</t>
  </si>
  <si>
    <t>ООО "Актив - Менеджмент"</t>
  </si>
  <si>
    <t>Воронежский вагоноремонтный завод  – филиал                               ОАО "Вагонреммаш"</t>
  </si>
  <si>
    <t>ОАО "Кристалл"</t>
  </si>
  <si>
    <t>ЗАО "Концерн "Росогнеупоры"</t>
  </si>
  <si>
    <t>ОАО Молочный комбинат "Воронежский"</t>
  </si>
  <si>
    <t>ООО завод "Инсайт"</t>
  </si>
  <si>
    <t>ЗАО "Воронеж-Терминал"</t>
  </si>
  <si>
    <t>ООО "Завод художественной ковки"</t>
  </si>
  <si>
    <t>ООО "Талар"</t>
  </si>
  <si>
    <t>ЗАО "Монолит"</t>
  </si>
  <si>
    <t>ООО Финансово - промышленная компания "Космос-нефть-газ"</t>
  </si>
  <si>
    <t>ООО "Производственное объединение "Воронежский станкоинструментальный завод"</t>
  </si>
  <si>
    <t>ОАО "Видеофон"</t>
  </si>
  <si>
    <t>ОАО "ВАСО"</t>
  </si>
  <si>
    <t>ООО "Атомэнергозапчасть"</t>
  </si>
  <si>
    <t>ЗАО фирма "СМУР"</t>
  </si>
  <si>
    <t>ООО "КАН"</t>
  </si>
  <si>
    <t>ОАО "Борхиммаш"</t>
  </si>
  <si>
    <t>ООО "Холодильник № 4"</t>
  </si>
  <si>
    <t>ЗАО "Гамма"</t>
  </si>
  <si>
    <t>ЗАО "АгроВоронежинвест"</t>
  </si>
  <si>
    <t>ООО "РОСИНКОМ"</t>
  </si>
  <si>
    <t>ОАО "Воронежский экспериментальный комбикормовый завод"</t>
  </si>
  <si>
    <t>МКП МТК "Воронежпассажиртранс"</t>
  </si>
  <si>
    <t>ЗАО "Воронежский шинный завод"</t>
  </si>
  <si>
    <t>ООО "Центр по ремонту приборов учета"</t>
  </si>
  <si>
    <t>№ 13/623 от 27.12.2013</t>
  </si>
  <si>
    <t>ОАО "Красносельский Ювелирпром"</t>
  </si>
  <si>
    <t>ОАО "Костромской судомеханический завод"</t>
  </si>
  <si>
    <t>ООО «Костромской машиностроительный завод» (ООО "Костромской завод автоматических линий")</t>
  </si>
  <si>
    <t>Филиал - "Верхневолжский" ОАО "Оборонэнерго" в границах Костромской области</t>
  </si>
  <si>
    <t>ОАО "Калориферный завод" (с учетом транзита)</t>
  </si>
  <si>
    <t>ОАО "Электромеханический завод "Пегас"</t>
  </si>
  <si>
    <t>ООО "Белгорсолод" (ЗАО "Костромской крахмало-паточный завод")</t>
  </si>
  <si>
    <t>ООО «Стромнефтемаш»</t>
  </si>
  <si>
    <t>ООО "Текмаш"</t>
  </si>
  <si>
    <t>ООО "Ремстройпласт"</t>
  </si>
  <si>
    <t>Филиал ОАО «Российские железные дороги» Трансэнерго Северная дирекция по энергообеспечению в границах Костромской области</t>
  </si>
  <si>
    <t>Филиал ОАО «Российские железные дороги» Трансэнерго Северная дирекция по энергообеспечению в границах Костромской области (в отношении транзита)</t>
  </si>
  <si>
    <t>ООО «Энергосервис»</t>
  </si>
  <si>
    <t>№13/148/а от 11.07.2013</t>
  </si>
  <si>
    <t>"СП-Нормативные документы" №31(446)</t>
  </si>
  <si>
    <t>ООО "КФК Энерго"</t>
  </si>
  <si>
    <t>146 от 20.12.2013г.</t>
  </si>
  <si>
    <t>25.12.2013г.</t>
  </si>
  <si>
    <t>Газета "Курск" №52, http://tarifkursk.ru</t>
  </si>
  <si>
    <t>ООО "Энерго-Сервис"</t>
  </si>
  <si>
    <t>147 от 20.12.2013г.</t>
  </si>
  <si>
    <t>148 от 20.12.2013г.</t>
  </si>
  <si>
    <t>ФБУ ИК -3 УФСИН России по Курской области</t>
  </si>
  <si>
    <t>149 от 20.12.2013г.</t>
  </si>
  <si>
    <t>ОАО "Курская фабрика технических тканей"</t>
  </si>
  <si>
    <t>150 от 20.12.2013г.</t>
  </si>
  <si>
    <t>ЗАО "Курскрезинотехника"</t>
  </si>
  <si>
    <t>151 от 20.12.2013г.</t>
  </si>
  <si>
    <t>ООО "Промышленная сборка"</t>
  </si>
  <si>
    <t>152 от 20.12.2013г.</t>
  </si>
  <si>
    <t>ООО "Курскхимволокно"</t>
  </si>
  <si>
    <t>153 от 20.12.2013г.</t>
  </si>
  <si>
    <t>ООО "Газпром Энерго"</t>
  </si>
  <si>
    <t>154 от 20.12.2013г.</t>
  </si>
  <si>
    <t>ООО "Железногорская Сетевая Компания"</t>
  </si>
  <si>
    <t>155 от 20.12.2013г.</t>
  </si>
  <si>
    <t>Московская железная дорога – филиал ОАО «Российские железные дороги» в пределах границ Курской области</t>
  </si>
  <si>
    <t>156 от 20.12.2013г.</t>
  </si>
  <si>
    <t>ОАО «Российские железные дороги» в границах Юго-Восточной железной дороги по Курскому региону</t>
  </si>
  <si>
    <t>157 от 20.12.2013г.</t>
  </si>
  <si>
    <t>ООО "Курский Энегетический Имущественный Комплекс"</t>
  </si>
  <si>
    <t>158 от 20.12.2013г.</t>
  </si>
  <si>
    <t>ООО "Электроснабжение"</t>
  </si>
  <si>
    <t>159 от 20.12.2013г.</t>
  </si>
  <si>
    <t>МУП "Горэлектросети" Муниципального образования        " Город Железногорск"</t>
  </si>
  <si>
    <t>160 от 20.12.2013г.</t>
  </si>
  <si>
    <t>ООО "КМА-Электро"</t>
  </si>
  <si>
    <t>161 от 20.12.2013г.</t>
  </si>
  <si>
    <t xml:space="preserve">ОАО "Курские электрические сети" </t>
  </si>
  <si>
    <t>№163  от 20.12.2013г.</t>
  </si>
  <si>
    <t>№ 56/4 от 20.12.2013</t>
  </si>
  <si>
    <t>№ 249 от 27.12.13</t>
  </si>
  <si>
    <t>ОАО "Липецкая городская энергетическая компания"</t>
  </si>
  <si>
    <t xml:space="preserve">ОАО "НЛМК" </t>
  </si>
  <si>
    <t>ОАО "Завод Железобетон"</t>
  </si>
  <si>
    <t>ООО "Техноинжиниринг"</t>
  </si>
  <si>
    <t>ОАО "Доломит"</t>
  </si>
  <si>
    <t>ООО "ТранснефтьЭлектросетьСервис" на территории Липецкой области</t>
  </si>
  <si>
    <t>ОАО "Энергия"</t>
  </si>
  <si>
    <t>ЗАО "Липецкий силикатный завод"</t>
  </si>
  <si>
    <t>ЗАО "Липецкцемент"</t>
  </si>
  <si>
    <t>ОАО "Липецкое торгово-промышленное объединение"</t>
  </si>
  <si>
    <t>ОАО "Грязинский пищекомбинат"</t>
  </si>
  <si>
    <t>ОАО "Стагдок"</t>
  </si>
  <si>
    <t>ЗАО "ПИК ЭЛЬТА"</t>
  </si>
  <si>
    <t>ООО "Лемаз"</t>
  </si>
  <si>
    <t>ООО "Лонгричбизнес"</t>
  </si>
  <si>
    <t>ОАО "ОЭЗ ППТ "Липецк"</t>
  </si>
  <si>
    <t>ОАО ЗСМ "Елецкий"</t>
  </si>
  <si>
    <t>ООО "Солнечная энергетика"</t>
  </si>
  <si>
    <t>ООО "ФИН-Групп"</t>
  </si>
  <si>
    <t>ОАО "Оборонэнерго" на территории Липецкой области</t>
  </si>
  <si>
    <t>ООО "РСК-Чаплыгин"</t>
  </si>
  <si>
    <t>ООО "ЛТК "Свободный Сокол"</t>
  </si>
  <si>
    <t>2. Население и приравненные к нему категории</t>
  </si>
  <si>
    <t>-</t>
  </si>
  <si>
    <t>№ 2237-т  от 19.12.2013 г.</t>
  </si>
  <si>
    <t>26.12.2013 г.</t>
  </si>
  <si>
    <t>Портал Орловской области</t>
  </si>
  <si>
    <t>ОАО "Орелоблэнерго" - ОАО "МРСК Центра" (филиал ОАО "МРСК Центра" - "Орелэнерго")</t>
  </si>
  <si>
    <t>ООО "ОПК-Энерго" - ОАО "МРСК Центра" (филиал ОАО "МРСК Центра" - "Орелэнерго")</t>
  </si>
  <si>
    <t>ОАО "РЖД" (филиал ОАО "РЖД" - Трансэнерго (Московская дирекция по энергообеспечению) - ОАО "МРСК Центра" (филиал ОАО "МРСК Центра" - "Орелэнерго")</t>
  </si>
  <si>
    <t>ООО "Газпром энерго" (Центральный филиал ООО "Газпром энерго") - ОАО "МРСК Центра" (филиал ОАО "МРСК Центра" - "Орелэнерго")</t>
  </si>
  <si>
    <t>ООО "СтройПарк" - ОАО "МРСК Центра" (филиал ОАО "МРСК Центра" - "Орелэнерго")</t>
  </si>
  <si>
    <t>ОАО "Протон" - ОАО "МРСК Центра" (филиал ОАО "МРСК Центра" - "Орелэнерго")</t>
  </si>
  <si>
    <t>ЗАО "АВТОБАЗИС" - ОАО "МРСК Центра" (филиал ОАО "МРСК Центра" - "Орелэнерго")</t>
  </si>
  <si>
    <t>ОАО "Орловские металлы" - ОАО "МРСК Центра" (филиал ОАО "МРСК Центра" - "Орелэнерго")</t>
  </si>
  <si>
    <t>ООО "Промэнергосеть" - ОАО "МРСК Центра" (филиал ОАО "МРСК Центра" - "Орелэнерго")</t>
  </si>
  <si>
    <t>ООО "ТЭС" - ОАО "МРСК Центра" (филиал ОАО "МРСК Центра" - "Орелэнерго")</t>
  </si>
  <si>
    <t>ОАО "МЛЗ" - ОАО "МРСК Центра" (филиал ОАО "МРСК Центра" - "Орелэнерго")</t>
  </si>
  <si>
    <t>ОАО "КМ Груп" - ОАО "МРСК Центра" (филиал ОАО "МРСК Центра" - "Орелэнерго")</t>
  </si>
  <si>
    <t>ООО «Энергетик» - ОАО "МРСК Центра" (филиал ОАО "МРСК Центра" - "Орелэнерго")</t>
  </si>
  <si>
    <t>ИП Шамардин В. Д. - ОАО "МРСК Центра" (филиал ОАО "МРСК Центра" - "Орелэнерго")</t>
  </si>
  <si>
    <t>ИП Абрамов М. И. - ОАО "МРСК Центра" (филиал ОАО "МРСК Центра" - "Орелэнерго")</t>
  </si>
  <si>
    <t>ОАО "Оборонэнерго" филиал "Юго-Западный" - ОАО "МРСК Центра" (филиал ОАО "МРСК Центра" - "Орелэнерго")</t>
  </si>
  <si>
    <t>№ 2238-т  от 19.12.2013 г.</t>
  </si>
  <si>
    <t>ООО "Энергосервис" - ОАО "МРСК Центра" (филиал ОАО "МРСК Центра" - "Орелэнерго")</t>
  </si>
  <si>
    <t>№ 2239-т  от 19.12.13</t>
  </si>
  <si>
    <t>НН (население город, в пределах соц.нормы)</t>
  </si>
  <si>
    <t>НН (население город, сверх соц.нормы)</t>
  </si>
  <si>
    <t>НН (население село, в пределах соц.нормы)</t>
  </si>
  <si>
    <t>НН (население село, сверх соц.нормы)</t>
  </si>
  <si>
    <t>№744 от 20.12.2013г.</t>
  </si>
  <si>
    <t xml:space="preserve">Вестник Смоленской областной Думы и Администрации Смоленской области номер № 12 </t>
  </si>
  <si>
    <t xml:space="preserve">филиал "Смоленскэнерго" </t>
  </si>
  <si>
    <t>№ 745  от 20.12.2013г.</t>
  </si>
  <si>
    <t xml:space="preserve">"Вестник Смоленской областной Думы и Администрации Смоленской области" номер № 12 </t>
  </si>
  <si>
    <t>газета "Тамбовская жизнь" (спецвыпуск №105 (1445)</t>
  </si>
  <si>
    <t>ОАО "РЖД" в границах деятельности Юго-Восточной дирекции-структурного подразделения Трансэнерго-филиала ОАО "РЖД" на территории Тамбовской области</t>
  </si>
  <si>
    <t>ООО "Газпромэнерго" на территории Тамбовской области</t>
  </si>
  <si>
    <t>242-э от 19.12.2013</t>
  </si>
  <si>
    <t>ОАО " ТЗ "Ревтруд"</t>
  </si>
  <si>
    <t>МУП "Мичуринские гор. электросети"</t>
  </si>
  <si>
    <t>254-э от 20.12.2013</t>
  </si>
  <si>
    <t>ОАО "РЖД" в границах деятельности Куйбышевкой дирекции по энергообеспечению-структурного подразделения Транэнерго-филиала ОАО "РЖД"</t>
  </si>
  <si>
    <t>ОАО "Тамбовские коммунальные системы"</t>
  </si>
  <si>
    <t>Филиал «Юго-Западный» ОАО «Оборонэнерго»</t>
  </si>
  <si>
    <t>248-э от 19.12.2013</t>
  </si>
  <si>
    <t>ОАО "Тамбовская сетевая компания"</t>
  </si>
  <si>
    <t>250-э от 19.12.2013</t>
  </si>
  <si>
    <t>ООО "Котовская ЭлектроТранспортная Организация"</t>
  </si>
  <si>
    <t>№ 260-э от 20.12.2013 в редакции приказа  295-э от 27.12.2013</t>
  </si>
  <si>
    <t>24.12.2013;               31.12.2013</t>
  </si>
  <si>
    <t>газета "Тамбовская жизнь" (спецвыпуск №105 (1445);                  №107 (1447)</t>
  </si>
  <si>
    <t>№ 821-нп от 20.12.2013 г.</t>
  </si>
  <si>
    <t>24.12.2013 г.</t>
  </si>
  <si>
    <t xml:space="preserve">Специальное приложение № 51                                              к газете "Тверская жизнь" № 237 (27.769) </t>
  </si>
  <si>
    <t>"Октябрьская ЖД" филиал ОАО "РЖД"</t>
  </si>
  <si>
    <t>№ 826-нп от 20.12.2013 г.</t>
  </si>
  <si>
    <t>МУП "Тверьгорэлектро"</t>
  </si>
  <si>
    <t>№ 827-нп от 20.12.2013 г.</t>
  </si>
  <si>
    <t>ООО "Тверьоблэлектро"</t>
  </si>
  <si>
    <t>№ 822-нп от 20.12.2013 г.</t>
  </si>
  <si>
    <t>ООО "Электромонтажная компания"</t>
  </si>
  <si>
    <t>№ 815-нп от 20.12.2013 г.</t>
  </si>
  <si>
    <t>ОАО "Бологовский арматурный завод"</t>
  </si>
  <si>
    <t>№ 825-нп от 20.12.2013 г.</t>
  </si>
  <si>
    <t>ФГУП "ВНИИСВ"</t>
  </si>
  <si>
    <t>№ 819-нп от 20.12.2013 г.</t>
  </si>
  <si>
    <t>ООО "Тверской стекольный завод"</t>
  </si>
  <si>
    <t>№ 823-нп от 20.12.2013 г.</t>
  </si>
  <si>
    <t>ООО "Горизонт"</t>
  </si>
  <si>
    <t>№ 817-нп от 20.12.2013 г.</t>
  </si>
  <si>
    <t>ОАО "СИБУР-ПЭТФ"</t>
  </si>
  <si>
    <t>№ 832-нп от 20.12.2013 г.</t>
  </si>
  <si>
    <t>Центральный филиал ООО "Газпромэнерго"</t>
  </si>
  <si>
    <t>№ 820-нп от 20.12.2013 г.</t>
  </si>
  <si>
    <t>ООО "ТверьЖилДорСтрой"</t>
  </si>
  <si>
    <t>№ 818-нп от 20.12.2013 г.</t>
  </si>
  <si>
    <t>№ 824-нп от 20.12.2013 г.</t>
  </si>
  <si>
    <t>ООО "СетьЭнерго"</t>
  </si>
  <si>
    <t>№ 816-нп от 20.12.2013 г.</t>
  </si>
  <si>
    <t>ОАО "Редкинский опытный завод"</t>
  </si>
  <si>
    <t>№ 833-нп от 20.12.2013 г.</t>
  </si>
  <si>
    <t>ООО "ЭнергоТверьИнвест"</t>
  </si>
  <si>
    <t>№ 834-нп от 20.12.2013 г.</t>
  </si>
  <si>
    <t>ОАО "Оборонэнерго" Филиал "Верхневолжский"</t>
  </si>
  <si>
    <t>№ 828-нп от 20.12.2013 г.</t>
  </si>
  <si>
    <t>ЗАО "Энергосети"</t>
  </si>
  <si>
    <t>№ 831-нп от 20.12.2013 г.</t>
  </si>
  <si>
    <t>ООО "ЭнергоСеть"</t>
  </si>
  <si>
    <t>№ 829-нп от 20.12.2013 г.</t>
  </si>
  <si>
    <t>ООО "Объединенная электросетевая компания"</t>
  </si>
  <si>
    <t>№ 837 от 20.12.13</t>
  </si>
  <si>
    <t>Документ -регион</t>
  </si>
  <si>
    <t xml:space="preserve">ОАО «Ярославская городская электросеть» </t>
  </si>
  <si>
    <t xml:space="preserve">ЗАО «Ярославль-Резинотехника» </t>
  </si>
  <si>
    <t>ИП Шутов А.В.</t>
  </si>
  <si>
    <t xml:space="preserve">ОАО «Ярославский завод дизельной аппаратуры» цех 388 </t>
  </si>
  <si>
    <t xml:space="preserve">ООО «ЭКО» </t>
  </si>
  <si>
    <t xml:space="preserve">ОАО «Ярославский шинный завод» </t>
  </si>
  <si>
    <t>ОАО «Ярославский судостроительный завод»</t>
  </si>
  <si>
    <t xml:space="preserve">ООО «Регионэлектросеть» </t>
  </si>
  <si>
    <t>ООО «Спецторг Плюс»</t>
  </si>
  <si>
    <t xml:space="preserve">ОАО «Оборонэнерго» </t>
  </si>
  <si>
    <t xml:space="preserve">ОАО «Северное производственно-комплектовочное предприятие «Оборонпромкомплекс» </t>
  </si>
  <si>
    <t>Филиал ОАО «Мостостройиндустрия»- «Завод № 50»</t>
  </si>
  <si>
    <t xml:space="preserve">ООО «Каскад-Энергосеть» </t>
  </si>
  <si>
    <t xml:space="preserve">ЗАО «Железобетон» </t>
  </si>
  <si>
    <t>Северная дирекция по энергообеспечению – структурное подразделение Трансэнерго филиала ОАО «Российские железные дороги»</t>
  </si>
  <si>
    <t xml:space="preserve">Северный филиал ООО «Газпром энерго»  </t>
  </si>
  <si>
    <t xml:space="preserve">ОАО «Ярославская электросетевая компания» </t>
  </si>
  <si>
    <t>ОАО «Рыбинская городская электросеть»</t>
  </si>
  <si>
    <t xml:space="preserve">ООО «Рыбинск-спектр» </t>
  </si>
  <si>
    <t>ООО «Энергия»</t>
  </si>
  <si>
    <t xml:space="preserve">ОАО «Рыбинский завод приборостроения» </t>
  </si>
  <si>
    <t xml:space="preserve">ОАО "Воентелеком" </t>
  </si>
  <si>
    <t>ОАО «Фильтры индустриальные газоочистные» (ОАО "ФИНГО")</t>
  </si>
  <si>
    <t>МУП «Горэлектросеть»</t>
  </si>
  <si>
    <t xml:space="preserve">ОАО « Ярославский нефтеперерабатывающий завод им. Д.И.Менделеева» (Русойл) </t>
  </si>
  <si>
    <t xml:space="preserve">ООО «Ресурс» </t>
  </si>
  <si>
    <t xml:space="preserve">ОАО «Ресурс» </t>
  </si>
  <si>
    <t xml:space="preserve">Филиал ФГУП «Жилищно-кооммунальное управление российской академии наук»  в пос. Борок </t>
  </si>
  <si>
    <t>Некрасовское МП ЖКХ</t>
  </si>
  <si>
    <t xml:space="preserve">Бурмакинское МП ЖКХ </t>
  </si>
  <si>
    <t xml:space="preserve">ФБУ «Исправительная колония № 3 Управления Федеральной службы исполнения наказаний по  Ярославской области» </t>
  </si>
  <si>
    <t xml:space="preserve">ОАО «Жилищно-коммунальное хозяйство «Заволжье» </t>
  </si>
  <si>
    <t>ЗАО "Объединенная электросетевая  компания -Ярославль"</t>
  </si>
  <si>
    <t>ООО "Тепловая энергетическая компания - 1"</t>
  </si>
  <si>
    <t>ОАО "Электросети ЯГК"</t>
  </si>
  <si>
    <t>ООО Рыбинский завод специального машиностроения "Мегатон""</t>
  </si>
  <si>
    <t>ОАО "Ярославский радиозавод"</t>
  </si>
  <si>
    <t>ООО "Энергокомпания"</t>
  </si>
  <si>
    <t>ООО "Льняной комбинат "Тульма"</t>
  </si>
  <si>
    <t>ООО "Производственная фирма "Стис"</t>
  </si>
  <si>
    <t>ООО"Межрегиональная Энергосервисная Компания"</t>
  </si>
  <si>
    <t>ООО "ЭнергоСистемныеРешения"</t>
  </si>
  <si>
    <t>ООО "БизнесПродуктГрупп"</t>
  </si>
  <si>
    <t>ООО "Энергоресурс"</t>
  </si>
  <si>
    <t>№195  от 30.12.2013</t>
  </si>
  <si>
    <t>2.1 Население, за исключением указанного в пунктах 2.2, 2.3 и категории потребителей приравненные к населению</t>
  </si>
  <si>
    <t>2.2 Население, проживающее в городских населенных пунктах в домах, оборудованных в установленном порядке стационарными электроплитами для пищеприготовления и (или) электроотопительными установками</t>
  </si>
  <si>
    <t>2.3 Население, проживающее в сельских населенных пунктах</t>
  </si>
  <si>
    <t>2. Население и приравненные к нему потребители</t>
  </si>
  <si>
    <t xml:space="preserve">филиал "Тамбовэнерго" </t>
  </si>
  <si>
    <t>филиал "Тверьэнерго"</t>
  </si>
  <si>
    <t>филиал "Ярэнерго"</t>
  </si>
  <si>
    <t xml:space="preserve">филиал "Брянскэнерго" </t>
  </si>
  <si>
    <t>2.1  Прочие потребители, за исключением потребителей, энергопринимающие устройства которых присоединены к электрическим сетям сетевой организации через энергетические установки производителя электрической энергии</t>
  </si>
  <si>
    <t>2.2 Прочие потребители, энергопринимающие устройства которых присоединены к электрическим сетям сетевой организации через энергетические установки производителя электрической энергии</t>
  </si>
  <si>
    <t>2. Прочие потребители</t>
  </si>
  <si>
    <t>филиал "Брянскэнерго"</t>
  </si>
  <si>
    <t>филиал "Воронежэнерго"</t>
  </si>
  <si>
    <t>филиал "Костромаэнерго"</t>
  </si>
  <si>
    <t xml:space="preserve">филиал "Курскэнерго" </t>
  </si>
  <si>
    <t>филиал "Липецкэнерго"</t>
  </si>
  <si>
    <t xml:space="preserve">филиал "Орелэнерго" </t>
  </si>
  <si>
    <t>филиал "Курскэнерго"</t>
  </si>
  <si>
    <t>филиал "Орелэнерго"</t>
  </si>
  <si>
    <t>филиал "Смоленскэнерго"</t>
  </si>
  <si>
    <t>филиал "Тамбовэнерго"</t>
  </si>
  <si>
    <t>Воронежский курьер №147</t>
  </si>
  <si>
    <t xml:space="preserve">филиал "Белгородэнерго" </t>
  </si>
  <si>
    <t>филиал "Белгородэнерго"</t>
  </si>
  <si>
    <t>ФГУП ЮВЖД</t>
  </si>
  <si>
    <t>ОАО Лебединский ГОК</t>
  </si>
  <si>
    <t>ОООПодстанция Белгород</t>
  </si>
  <si>
    <t>ЗАО Энергомаш (Белгород)</t>
  </si>
  <si>
    <t>ОАО Белгородский цемент</t>
  </si>
  <si>
    <t>ОАО Комбинат КМАруда</t>
  </si>
  <si>
    <t>ООО Биохим-Сервис</t>
  </si>
  <si>
    <t>ЗАО Гормаш</t>
  </si>
  <si>
    <t>ЗАО Спецэнерго</t>
  </si>
  <si>
    <t>ОАО СГОК</t>
  </si>
  <si>
    <t>ОАО "КМАпроектжилстрой"</t>
  </si>
  <si>
    <t>ООО "Полисинтез"</t>
  </si>
  <si>
    <t>ЗАО "Строительный ценр"</t>
  </si>
  <si>
    <t>ООО ДРЭП ДСК</t>
  </si>
  <si>
    <t>ЗАО "Сокол -АТС"</t>
  </si>
  <si>
    <t>ОАО " Белгородский завод "Ритм"</t>
  </si>
  <si>
    <t>ОАО "ОЭМК"</t>
  </si>
  <si>
    <t>ОАО "ОЗММ"</t>
  </si>
  <si>
    <t>ОАО "Верофарм"</t>
  </si>
  <si>
    <t>ОАО  "СОМЗ"</t>
  </si>
  <si>
    <t>ИП Пискарев</t>
  </si>
  <si>
    <t>ОАО Белгородасбестоцемент</t>
  </si>
  <si>
    <t>ОАО Бел. эл. механический завод</t>
  </si>
  <si>
    <t>ООО "Каскад-энергосеть"</t>
  </si>
  <si>
    <t>ООО "ОСМиБТ"</t>
  </si>
  <si>
    <t>ОАО "Оборонэнерго "</t>
  </si>
  <si>
    <t>ОГУ "Белгородский региональный ресурсный центр"</t>
  </si>
  <si>
    <t>ВН 1</t>
  </si>
  <si>
    <t xml:space="preserve">ВН </t>
  </si>
  <si>
    <t xml:space="preserve">СН1 </t>
  </si>
  <si>
    <t xml:space="preserve">СН2 </t>
  </si>
  <si>
    <t xml:space="preserve">НН </t>
  </si>
  <si>
    <t>2.3. Население проживающие в сельских населенных пунктах</t>
  </si>
  <si>
    <t xml:space="preserve"> 20.12.2013г. </t>
  </si>
  <si>
    <t>2</t>
  </si>
  <si>
    <t>3</t>
  </si>
  <si>
    <t>4</t>
  </si>
  <si>
    <t>Документ -регион,    № 106</t>
  </si>
  <si>
    <t>1.Население и приравненные к нему категории потребителей</t>
  </si>
  <si>
    <t xml:space="preserve"> 2.Население и приравненные к нему категории потребителей</t>
  </si>
  <si>
    <t>2.  Население и приравненные к нему категории потребителей</t>
  </si>
  <si>
    <t xml:space="preserve"> 2. Население и приравненные к нему категории потребителей</t>
  </si>
  <si>
    <t>2.1. Городское население</t>
  </si>
  <si>
    <t xml:space="preserve"> 27.12.2013</t>
  </si>
  <si>
    <t>Липецкая газета,         № 249</t>
  </si>
  <si>
    <t>2.2. Сельское население и городское население, проживающего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</si>
  <si>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 xml:space="preserve">Липецкая газета, № 56/4 </t>
  </si>
  <si>
    <t>Липецкая газета, № 56/4</t>
  </si>
  <si>
    <t>27.12.2013г.</t>
  </si>
  <si>
    <t>№ 245-т  от 27.02.2014 г.</t>
  </si>
  <si>
    <t>28.02.2014 г.</t>
  </si>
  <si>
    <t>ООО "Антаго" - ОАО "МРСК Центра" (филиал ОАО "МРСК Центра" - "Орелэнерго")
(действует с 01.03.2014)</t>
  </si>
  <si>
    <t>15.07.2014 г.</t>
  </si>
  <si>
    <t>№ 830-нп от 20.12.2013 г.</t>
  </si>
  <si>
    <t>ООО  "СпецЭнергоСеть"</t>
  </si>
  <si>
    <t>№ 23-нп от 28.02.2014 г.</t>
  </si>
  <si>
    <t>01.03.2014 г.</t>
  </si>
  <si>
    <t>газета "Тверская жизнь" № 37 (27.809)</t>
  </si>
  <si>
    <t>ОАО "Инженерно-инвестиционная компания"</t>
  </si>
  <si>
    <t>№ 74-нп от 14.05.2014 г.</t>
  </si>
  <si>
    <t>17.05.2014 г.</t>
  </si>
  <si>
    <t xml:space="preserve">Специальное приложение № 17                                              к газете "Тверская жизнь" № 91 (27.863) </t>
  </si>
  <si>
    <t>ООО "Тверские энергетические системы"</t>
  </si>
  <si>
    <t>№ 75-нп от 14.05.2014 г.</t>
  </si>
  <si>
    <t>ОАО "ЭЛТРА"</t>
  </si>
  <si>
    <t>2 полугодие 2014 года 1 сентября 2014</t>
  </si>
  <si>
    <t>№ 38/1-э от 29.08.2014</t>
  </si>
  <si>
    <t>Приказ УРТ от 31.05.2012 № 23/5 (в редакции от 20.12.2013 № 55/1)</t>
  </si>
  <si>
    <t>Приказ УРТ от 20.12.2013 № 55/2</t>
  </si>
  <si>
    <t>Приказ УРТ от 20.12.2013 № 55/3</t>
  </si>
  <si>
    <t>Приказ УРТ от 20.12.2013 № 55/4</t>
  </si>
  <si>
    <t>Приказ УРТ от 30.01.2014г. №3/3</t>
  </si>
  <si>
    <t>31.01.2014г.</t>
  </si>
  <si>
    <t>"Воронежский курьер" №8</t>
  </si>
  <si>
    <t xml:space="preserve">ООО «Сетевая Компания Подгорное - 2» </t>
  </si>
  <si>
    <t>Приказ УРТ от 30.01.2014г. №3/4</t>
  </si>
  <si>
    <t>ООО "Городская сетевая компания"</t>
  </si>
  <si>
    <t>Приказ УРТ от 30.01.2014г. №3/2</t>
  </si>
  <si>
    <t>ОАО "Бутурлиновская электросетевая компания"</t>
  </si>
  <si>
    <t>Приказ УРТ от 31.03.2014г. №15/1</t>
  </si>
  <si>
    <t>01.04.2014г.</t>
  </si>
  <si>
    <t>"Воронежский курьер" №25</t>
  </si>
  <si>
    <t>ООО "Энергосетевая компания "Шилово"</t>
  </si>
  <si>
    <t>Приказ УРТ от 15.05.2014г. №22/1</t>
  </si>
  <si>
    <t>20.05.2014г.</t>
  </si>
  <si>
    <t>"Воронежский курьер" №38</t>
  </si>
  <si>
    <t>ООО "Электро-С"</t>
  </si>
  <si>
    <t>Приказ УРТ от 26.06.2014г. №28/4</t>
  </si>
  <si>
    <t>01.07.2014г.</t>
  </si>
  <si>
    <t>"Воронежский курьер" №50</t>
  </si>
  <si>
    <t>ООО "ОгнеупорПром"</t>
  </si>
  <si>
    <t>Приказ УРТ от 07.08.2014г. №32/1</t>
  </si>
  <si>
    <t>12.08.2014г.</t>
  </si>
  <si>
    <t>"Воронежский курьер" №62</t>
  </si>
  <si>
    <t>ООО "Региональная электросетевая компания"</t>
  </si>
  <si>
    <t>Приказ УРТ от 30.09.2014г. №41/3</t>
  </si>
  <si>
    <t>03.10.2014г.</t>
  </si>
  <si>
    <t>"Воронежский курьер" №77</t>
  </si>
  <si>
    <t>ОАО "Павловск Неруд"</t>
  </si>
  <si>
    <t>№ 9/3-3э от 19.03.2014 г.</t>
  </si>
  <si>
    <t>04.04.2014г</t>
  </si>
  <si>
    <t>Информационно-аналитический бюллетень «Официальная Брянщина», №9</t>
  </si>
  <si>
    <t>№ 9/3-2э от 19.03.2014 г.</t>
  </si>
  <si>
    <t>ГУП "Брянсккоммунэнерго"  *</t>
  </si>
  <si>
    <t>31.12.2013г</t>
  </si>
  <si>
    <t>Информационно-аналитический бюллетень «Официальная Брянщина», №38/1</t>
  </si>
  <si>
    <t>ООО "Современный город"  *</t>
  </si>
  <si>
    <t>№ 3/2-э от 06.02.2014 г.</t>
  </si>
  <si>
    <t>15.10.2014г</t>
  </si>
  <si>
    <t>Информационно-аналитический бюллетень «Официальная Брянщина», №28</t>
  </si>
  <si>
    <t>ООО "Энерготранс"  *</t>
  </si>
  <si>
    <t>№ 10/2-э от 25.03.2014 г.</t>
  </si>
  <si>
    <t>ООО "БРЭСК"</t>
  </si>
  <si>
    <t>29.08.2014г</t>
  </si>
  <si>
    <t>Информационно-аналитический бюллетень «Официальная Брянщина», №24</t>
  </si>
  <si>
    <t>Филиал ОАО "МРСК Центра"-"Брянскэнерго" - ООО «Брянскоблэлектро»  **</t>
  </si>
  <si>
    <t>№14/122 от 1.09.2014</t>
  </si>
  <si>
    <t>"СП-Нормативные документы" №36(503)</t>
  </si>
  <si>
    <t>ОАО "Волгореченскрыбхоз" (новая ТСО)</t>
  </si>
  <si>
    <t>№ 347-т и 348-т от 25.03.2014 г.</t>
  </si>
  <si>
    <t>26.03.2014 г.</t>
  </si>
  <si>
    <t>ООО "Керама Марацци" - ОАО "МРСК Центра" (филиал ОАО "МРСК Центра" - "Орелэнерго")</t>
  </si>
  <si>
    <t>№ 1639-т от 14.10.2014</t>
  </si>
  <si>
    <t>20.10.2014 г.</t>
  </si>
  <si>
    <t xml:space="preserve"> от 20.12.2013г. </t>
  </si>
  <si>
    <t>Приказ ДЭиРТ № 193-ээ/п от 30.12.2013</t>
  </si>
  <si>
    <t>№ 106 от 31.12.2013</t>
  </si>
  <si>
    <t>Приказ ДЭиРТ № 190-ээ/п от 30.12.2013</t>
  </si>
  <si>
    <t>Приказ ДЭиРТ № 57-ээ/п от 11.06.2014</t>
  </si>
  <si>
    <t xml:space="preserve"> № 46 от 20.06.2014</t>
  </si>
  <si>
    <t>ООО "Рыбинский кабельный завод"</t>
  </si>
  <si>
    <t>Приказ ДЭиРТ  № 104-ээ/п от 16.10.2014</t>
  </si>
  <si>
    <t xml:space="preserve"> № 87 от 21.10.2014</t>
  </si>
  <si>
    <t>ООО "Техпромэксперт-Ярославль</t>
  </si>
  <si>
    <t xml:space="preserve">15/7, 19.12.2013, с изм. №2/2 от 24.03.2014 г. </t>
  </si>
  <si>
    <t>28.12.2013, 02.04.2014</t>
  </si>
  <si>
    <t xml:space="preserve">Газета "Белгородские известия" №265, №61 </t>
  </si>
  <si>
    <t>79 от 18.11.2014г.</t>
  </si>
  <si>
    <t>80 от 18.11.2014г.</t>
  </si>
  <si>
    <t xml:space="preserve">ОАО «Михайловский ГОК» </t>
  </si>
  <si>
    <t>ООО «СЕВЕРЭНЕРГО»</t>
  </si>
  <si>
    <t>2 полугодие 2014 года (с 1 декабря 2014 года  по 31 декабря 2014 года)</t>
  </si>
  <si>
    <t>исключен из котла</t>
  </si>
  <si>
    <t>ФКУ ИК-6 УФСИН России по Смоленской области г. Рославль</t>
  </si>
  <si>
    <t>ОАО "Вяземский ГОК" г. Вязьма</t>
  </si>
  <si>
    <t xml:space="preserve">ООО "Птицефабрика Сметанино" </t>
  </si>
  <si>
    <t>ГУП города Москвы "Литейно-прокатный завод" (производственный комплекс в г. Ярцево)</t>
  </si>
  <si>
    <t>ЗАО " Рославльский автоагрегатный завод АМО ЗИЛ" г.Рославль</t>
  </si>
  <si>
    <t>Московская дирекция по энергообеспечению СП Трансэнерго - филиал ОАО "РЖД" (на территории Смоленской области)</t>
  </si>
  <si>
    <t>ОАО "Айсберг" г. Смоленск</t>
  </si>
  <si>
    <t>ОАО ВНПО "Ресурс" г. Вязьма</t>
  </si>
  <si>
    <t>ОАО "Вяземский домостроительный комбинат" г. Вязьма</t>
  </si>
  <si>
    <t>ОАО "Пирамида" г. Смоленск</t>
  </si>
  <si>
    <t>ОАО "Сафоновский завод "Гидрометприбор" г. Сафоново</t>
  </si>
  <si>
    <t>ОАО "Сафоновский электромашиностроительный завод " г. Сафоново</t>
  </si>
  <si>
    <t xml:space="preserve">ОАО "Смоленский авиационный завод " г. Смоленск </t>
  </si>
  <si>
    <t>ОАО "Смоленский  ДОК" г. Смоленск</t>
  </si>
  <si>
    <t>ОАО "Смоленский завод Кентавр" г. Смоленск</t>
  </si>
  <si>
    <t>ОАО "Оборонэнерго" (на территории Смоленской области)</t>
  </si>
  <si>
    <t>ОАО "Торгмаш" г. Смоленск</t>
  </si>
  <si>
    <t>ОАО "ЭлС" г. Десногорск</t>
  </si>
  <si>
    <t>ОАО "НПП "Техноприбор" г. Смоленск</t>
  </si>
  <si>
    <t>ООО "Промконсервы" г. Рудня</t>
  </si>
  <si>
    <t>ООО "Газпромэнерго" г. Москва (на территории Смоленской области)</t>
  </si>
  <si>
    <t>ООО "Гнездово" г. Смоленск</t>
  </si>
  <si>
    <t>ООО АН "Гарант-Жилье" г. Смоленск</t>
  </si>
  <si>
    <t>ООО "Ярцевский хлопчатобумажный комбинат" г. Ярцево</t>
  </si>
  <si>
    <t>МУП "Комбинат коммунальных предприятий" МО "город Десногорск"</t>
  </si>
  <si>
    <t>ООО "Электро-Сетевая Компания СИТИ" (на территории Смоленской области)</t>
  </si>
  <si>
    <t>ООО "Колтэк-спецреагенты", г.Сафоново</t>
  </si>
  <si>
    <t>ЗАО "Монтажник" г. Смоленск</t>
  </si>
  <si>
    <t>ЗАО "ЭТС" г. Смоленск</t>
  </si>
  <si>
    <t xml:space="preserve">ЗАО "Дорогобужхимстрой" г.Смоленск </t>
  </si>
  <si>
    <t>ИП Сорин В.Я., г. Смоленск</t>
  </si>
  <si>
    <t>ОАО "БетЭлТранс" - филиал Вяземский завод ЖБШ, г.Вязьма</t>
  </si>
  <si>
    <t>ОАО "Меркурий" г. Смоленск*</t>
  </si>
  <si>
    <t>ОАО "Россмолбакалея" г. Смоленск*</t>
  </si>
  <si>
    <t>ОАО " Смоленское АТП" г. Смоленск*</t>
  </si>
  <si>
    <t>ООО "АРЕС" г. Смоленск*</t>
  </si>
  <si>
    <t>ИП Бояринов В.В. г.Смоленск*</t>
  </si>
  <si>
    <t>ООО "Стимул" с. Вязьма-Брянская*</t>
  </si>
  <si>
    <t>ИП Петроченков Д.М. г.Смоленск*</t>
  </si>
  <si>
    <t>ООО "Прогресс плюс" г. Рославль*</t>
  </si>
  <si>
    <t>МУП "Кутузовское" г.Ельня*</t>
  </si>
  <si>
    <t>ООО "Электросетьремонт" г.Смоленск*</t>
  </si>
  <si>
    <t>ЗАО трест "Смоленскагропромстрой" г.Смоленск*</t>
  </si>
  <si>
    <t xml:space="preserve">ЗАО "Монтажзаготовка" г.Смоленск* </t>
  </si>
  <si>
    <t>ИП Свидлер В.М. г.Смоленск*</t>
  </si>
  <si>
    <t>ООО "Здание Амипресс", г.Смоленск</t>
  </si>
  <si>
    <t>ООО "Фирма Смоленскгазсвязьавтоматика", г.Смоленск</t>
  </si>
  <si>
    <t>ООО "ТСО №3", г.Смоленск*</t>
  </si>
  <si>
    <t>ООО "Электросеть-Сафоново", г.Сафоново</t>
  </si>
  <si>
    <t>ОГУЭП "Смоленскоблкоммунэнерго", г.Смоленск</t>
  </si>
  <si>
    <t>ООО "Электропроммонтаж"*</t>
  </si>
  <si>
    <t>№ 108 от 27.06.2014</t>
  </si>
  <si>
    <t>от 09.07.2014</t>
  </si>
  <si>
    <t>опубликовано в "Смоленской газете"  №23</t>
  </si>
  <si>
    <t>ООО "ЭТС"</t>
  </si>
  <si>
    <t>№ 118 от 25.07.2014</t>
  </si>
  <si>
    <t>30.07.2014</t>
  </si>
  <si>
    <t>опубликовано в "Смоленской газете" №26</t>
  </si>
  <si>
    <t>ООО "Горэлектро" г. Смоленск*</t>
  </si>
  <si>
    <t>№ 52 от 27.03.2014</t>
  </si>
  <si>
    <t>09.04.2014</t>
  </si>
  <si>
    <t>ООО "М.Т.К."</t>
  </si>
  <si>
    <t>опубликовано в "Смоленской газете" №12</t>
  </si>
  <si>
    <t>ООО "Здание Амипресс", г.Смоленск*</t>
  </si>
  <si>
    <t>12.03.2014</t>
  </si>
  <si>
    <t>№ 31 от 28.02.2014</t>
  </si>
  <si>
    <t>опубликовано в "Смоленской газете"  №8</t>
  </si>
  <si>
    <t>ООО "Промэнергосеть"</t>
  </si>
  <si>
    <t>№ 148 от 30.09.2014</t>
  </si>
  <si>
    <t>08.10.2014</t>
  </si>
  <si>
    <t>опубликовано в "Смоленской газете" от№36</t>
  </si>
  <si>
    <t xml:space="preserve">ООО "Птицефабрика Сметанино"  </t>
  </si>
  <si>
    <t>№ 132 от 22.08.2014</t>
  </si>
  <si>
    <t>ЗАО "Дорогобужхимстрой" г.Смоленск</t>
  </si>
  <si>
    <t>ООО "АРЕС" г. Смоленск</t>
  </si>
  <si>
    <t>26.11.2014</t>
  </si>
  <si>
    <t>опубликовано в "Смоленской газете" от №43</t>
  </si>
  <si>
    <t>№ 166-нп от 14.07.2014 г.</t>
  </si>
  <si>
    <t>газета "Тверская жизнь" № 130 (27.902)</t>
  </si>
  <si>
    <t>№ 238-нп от 30.09.2014 г.</t>
  </si>
  <si>
    <t>01.10.2014 г.</t>
  </si>
  <si>
    <t>газета "Тверская жизнь" № 181 (27.953)</t>
  </si>
  <si>
    <t xml:space="preserve">№15/19  от 19.12.2013 (с изм. от 24.03.2014) </t>
  </si>
  <si>
    <t>21.01.2014, 02.04.2014</t>
  </si>
  <si>
    <t xml:space="preserve">Газета "Белгородские известия" №11, №61 </t>
  </si>
  <si>
    <t xml:space="preserve">244-э от 19.12.2013
</t>
  </si>
  <si>
    <t xml:space="preserve">газета "Тамбовская жизнь" (спецвыпуск №105 (1445)
</t>
  </si>
  <si>
    <t xml:space="preserve">258-э от 20.12.2013,документ утратил силу в связи с изданием Приказа Управления по регулированию тарифов Тамбовской области от 20.06.2014 N 33-э
</t>
  </si>
  <si>
    <t xml:space="preserve">газета "Тамбовская жизнь" (спецвыпуск №105 (1445),""Тамбовская жизнь" (специальный выпуск), N 45(1492), 
</t>
  </si>
  <si>
    <t xml:space="preserve">256-э от 20.12.2013, ред.от 30.06.2014 N 42-э
</t>
  </si>
  <si>
    <t xml:space="preserve">24.12.2013,                            04.07.2014
</t>
  </si>
  <si>
    <t xml:space="preserve">газета "Тамбовская жизнь" (спецвыпуск №105 (1445),"Тамбовская жизнь" (специальный выпуск), N 48(1495)
</t>
  </si>
  <si>
    <t xml:space="preserve">246-э от 19.12.2013, в ред.30.06.2014 N 40-э
</t>
  </si>
  <si>
    <t xml:space="preserve">24.12.2013,                           04.07.2014
</t>
  </si>
  <si>
    <t>252-э от 20.12.2013,в ред. от 30.06.2014 N 43-э</t>
  </si>
  <si>
    <t>24.12.2013,                                    04.07.2014</t>
  </si>
  <si>
    <t xml:space="preserve">газета "Тамбовская жизнь" (спецвыпуск №105 (1445),"Тамбовская жизнь" (специальный выпуск), N 48(1495), 
</t>
  </si>
  <si>
    <t xml:space="preserve">193-э от 16.12.2013, ред.от 30.06.2014 N 41-э
</t>
  </si>
  <si>
    <t xml:space="preserve">20.12.2013,                            04.07.2014
</t>
  </si>
  <si>
    <t xml:space="preserve">газета "Тамбовская жизнь" (спецвыпуск №103 (1443),"Тамбовская жизнь" (специальный выпуск), N 48(1495)
</t>
  </si>
  <si>
    <t xml:space="preserve">26-э от 29.04.2014, в ред. от 06.05.2014  N 27-э
</t>
  </si>
  <si>
    <t xml:space="preserve">газета "Тамбовская жизнь" (специальный выпуск), N 33(1480)
</t>
  </si>
  <si>
    <t xml:space="preserve">ООО "Мичуринская сетевая компания" </t>
  </si>
  <si>
    <t>24.12.2013,  24.06.2014</t>
  </si>
  <si>
    <t xml:space="preserve"> </t>
  </si>
  <si>
    <t>Газета "Курск" №48, http://tarifkursk.ru</t>
  </si>
  <si>
    <t>№ 9/3-1э от 19.03.2014г.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</si>
</sst>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 ;[Red]\-#,##0.00\ "/>
    <numFmt numFmtId="174" formatCode="#,##0.00_ ;\-#,##0.00\ 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"/>
    <numFmt numFmtId="181" formatCode="0.0000"/>
    <numFmt numFmtId="182" formatCode="0.000"/>
    <numFmt numFmtId="183" formatCode="0.00000000"/>
    <numFmt numFmtId="184" formatCode="0.0000000"/>
    <numFmt numFmtId="185" formatCode="0.000000"/>
    <numFmt numFmtId="186" formatCode="#,##0.00000"/>
    <numFmt numFmtId="187" formatCode="_(* #,##0.000_);_(* \(#,##0.000\);_(* &quot;-&quot;??_);_(@_)"/>
    <numFmt numFmtId="188" formatCode="_(* #,##0.0000_);_(* \(#,##0.0000\);_(* &quot;-&quot;??_);_(@_)"/>
    <numFmt numFmtId="189" formatCode="#,##0.000000"/>
    <numFmt numFmtId="190" formatCode="#,##0.0000"/>
    <numFmt numFmtId="191" formatCode="[$-FC19]d\ mmmm\ yyyy\ &quot;г.&quot;"/>
    <numFmt numFmtId="192" formatCode="#,##0.0"/>
    <numFmt numFmtId="193" formatCode="mmm/yyyy"/>
  </numFmts>
  <fonts count="60">
    <font>
      <sz val="10"/>
      <name val="Arial"/>
      <family val="0"/>
    </font>
    <font>
      <sz val="10"/>
      <name val="Arial Cyr"/>
      <family val="0"/>
    </font>
    <font>
      <i/>
      <sz val="7.5"/>
      <name val="Arial Cyr"/>
      <family val="2"/>
    </font>
    <font>
      <sz val="10"/>
      <name val="Helv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bscript"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57" applyFont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6" fillId="0" borderId="11" xfId="57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5" fillId="2" borderId="12" xfId="57" applyFont="1" applyFill="1" applyBorder="1" applyAlignment="1">
      <alignment horizontal="center" vertical="center" wrapText="1"/>
      <protection/>
    </xf>
    <xf numFmtId="0" fontId="5" fillId="2" borderId="13" xfId="5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55" applyAlignment="1">
      <alignment horizontal="center"/>
      <protection/>
    </xf>
    <xf numFmtId="0" fontId="6" fillId="0" borderId="11" xfId="57" applyFont="1" applyBorder="1" applyAlignment="1">
      <alignment horizontal="center" vertical="center" wrapText="1"/>
      <protection/>
    </xf>
    <xf numFmtId="4" fontId="6" fillId="0" borderId="11" xfId="57" applyNumberFormat="1" applyFont="1" applyBorder="1" applyAlignment="1">
      <alignment horizontal="center" vertical="center" wrapText="1"/>
      <protection/>
    </xf>
    <xf numFmtId="4" fontId="6" fillId="0" borderId="14" xfId="57" applyNumberFormat="1" applyFont="1" applyBorder="1" applyAlignment="1">
      <alignment horizontal="center" vertical="center" wrapText="1"/>
      <protection/>
    </xf>
    <xf numFmtId="0" fontId="6" fillId="33" borderId="11" xfId="57" applyFont="1" applyFill="1" applyBorder="1" applyAlignment="1">
      <alignment horizontal="center" vertical="center" wrapText="1"/>
      <protection/>
    </xf>
    <xf numFmtId="4" fontId="6" fillId="33" borderId="11" xfId="57" applyNumberFormat="1" applyFont="1" applyFill="1" applyBorder="1" applyAlignment="1">
      <alignment horizontal="center" vertical="center" wrapText="1"/>
      <protection/>
    </xf>
    <xf numFmtId="4" fontId="6" fillId="33" borderId="14" xfId="57" applyNumberFormat="1" applyFont="1" applyFill="1" applyBorder="1" applyAlignment="1">
      <alignment horizontal="center" vertical="center" wrapText="1"/>
      <protection/>
    </xf>
    <xf numFmtId="4" fontId="6" fillId="33" borderId="11" xfId="57" applyNumberFormat="1" applyFont="1" applyFill="1" applyBorder="1" applyAlignment="1">
      <alignment horizontal="center" vertical="center" wrapText="1"/>
      <protection/>
    </xf>
    <xf numFmtId="4" fontId="6" fillId="33" borderId="14" xfId="57" applyNumberFormat="1" applyFont="1" applyFill="1" applyBorder="1" applyAlignment="1">
      <alignment horizontal="center" vertical="center" wrapText="1"/>
      <protection/>
    </xf>
    <xf numFmtId="0" fontId="6" fillId="33" borderId="14" xfId="57" applyFont="1" applyFill="1" applyBorder="1" applyAlignment="1">
      <alignment horizontal="center" vertical="center" wrapText="1"/>
      <protection/>
    </xf>
    <xf numFmtId="0" fontId="6" fillId="33" borderId="10" xfId="57" applyFont="1" applyFill="1" applyBorder="1" applyAlignment="1">
      <alignment horizontal="center" vertical="center"/>
      <protection/>
    </xf>
    <xf numFmtId="175" fontId="6" fillId="33" borderId="11" xfId="57" applyNumberFormat="1" applyFont="1" applyFill="1" applyBorder="1" applyAlignment="1">
      <alignment horizontal="center" vertical="center" wrapText="1"/>
      <protection/>
    </xf>
    <xf numFmtId="0" fontId="6" fillId="33" borderId="11" xfId="57" applyFont="1" applyFill="1" applyBorder="1" applyAlignment="1">
      <alignment horizontal="center" vertical="center"/>
      <protection/>
    </xf>
    <xf numFmtId="175" fontId="6" fillId="33" borderId="14" xfId="57" applyNumberFormat="1" applyFont="1" applyFill="1" applyBorder="1" applyAlignment="1">
      <alignment horizontal="center" vertical="center" wrapText="1"/>
      <protection/>
    </xf>
    <xf numFmtId="0" fontId="6" fillId="33" borderId="15" xfId="57" applyFont="1" applyFill="1" applyBorder="1" applyAlignment="1">
      <alignment horizontal="center" vertical="center" wrapText="1"/>
      <protection/>
    </xf>
    <xf numFmtId="0" fontId="6" fillId="33" borderId="15" xfId="57" applyFont="1" applyFill="1" applyBorder="1" applyAlignment="1">
      <alignment horizontal="center" vertical="center"/>
      <protection/>
    </xf>
    <xf numFmtId="0" fontId="9" fillId="33" borderId="11" xfId="57" applyFont="1" applyFill="1" applyBorder="1" applyAlignment="1">
      <alignment horizontal="center" vertical="center" wrapText="1"/>
      <protection/>
    </xf>
    <xf numFmtId="175" fontId="10" fillId="33" borderId="11" xfId="56" applyNumberFormat="1" applyFont="1" applyFill="1" applyBorder="1" applyAlignment="1">
      <alignment horizontal="center" vertical="center" wrapText="1"/>
      <protection/>
    </xf>
    <xf numFmtId="4" fontId="10" fillId="33" borderId="11" xfId="56" applyNumberFormat="1" applyFont="1" applyFill="1" applyBorder="1" applyAlignment="1">
      <alignment horizontal="center" vertical="center" wrapText="1"/>
      <protection/>
    </xf>
    <xf numFmtId="4" fontId="10" fillId="33" borderId="14" xfId="56" applyNumberFormat="1" applyFont="1" applyFill="1" applyBorder="1" applyAlignment="1" applyProtection="1">
      <alignment horizontal="center" vertical="center" wrapText="1"/>
      <protection locked="0"/>
    </xf>
    <xf numFmtId="4" fontId="9" fillId="33" borderId="14" xfId="56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57" applyFont="1" applyFill="1" applyBorder="1" applyAlignment="1">
      <alignment horizontal="center" vertical="center"/>
      <protection/>
    </xf>
    <xf numFmtId="0" fontId="0" fillId="33" borderId="11" xfId="0" applyFill="1" applyBorder="1" applyAlignment="1">
      <alignment/>
    </xf>
    <xf numFmtId="0" fontId="11" fillId="33" borderId="11" xfId="54" applyNumberFormat="1" applyFont="1" applyFill="1" applyBorder="1" applyAlignment="1" applyProtection="1">
      <alignment horizontal="left" vertical="center" wrapText="1"/>
      <protection/>
    </xf>
    <xf numFmtId="0" fontId="11" fillId="33" borderId="11" xfId="54" applyNumberFormat="1" applyFont="1" applyFill="1" applyBorder="1" applyAlignment="1" applyProtection="1">
      <alignment horizontal="center" vertical="center" wrapText="1"/>
      <protection/>
    </xf>
    <xf numFmtId="175" fontId="6" fillId="33" borderId="15" xfId="57" applyNumberFormat="1" applyFont="1" applyFill="1" applyBorder="1" applyAlignment="1">
      <alignment horizontal="center" vertical="center" wrapText="1"/>
      <protection/>
    </xf>
    <xf numFmtId="0" fontId="6" fillId="33" borderId="16" xfId="57" applyFont="1" applyFill="1" applyBorder="1" applyAlignment="1">
      <alignment horizontal="center" vertical="center" wrapText="1"/>
      <protection/>
    </xf>
    <xf numFmtId="175" fontId="10" fillId="33" borderId="14" xfId="56" applyNumberFormat="1" applyFont="1" applyFill="1" applyBorder="1" applyAlignment="1">
      <alignment horizontal="center" vertical="center" wrapText="1"/>
      <protection/>
    </xf>
    <xf numFmtId="0" fontId="9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 wrapText="1"/>
      <protection/>
    </xf>
    <xf numFmtId="4" fontId="0" fillId="33" borderId="11" xfId="54" applyNumberFormat="1" applyFill="1" applyBorder="1">
      <alignment/>
      <protection/>
    </xf>
    <xf numFmtId="0" fontId="6" fillId="33" borderId="11" xfId="57" applyFont="1" applyFill="1" applyBorder="1" applyAlignment="1">
      <alignment horizontal="left" vertical="center" wrapText="1"/>
      <protection/>
    </xf>
    <xf numFmtId="0" fontId="6" fillId="33" borderId="15" xfId="57" applyFont="1" applyFill="1" applyBorder="1" applyAlignment="1">
      <alignment horizontal="left" vertical="center" wrapText="1"/>
      <protection/>
    </xf>
    <xf numFmtId="4" fontId="6" fillId="33" borderId="15" xfId="57" applyNumberFormat="1" applyFont="1" applyFill="1" applyBorder="1" applyAlignment="1">
      <alignment horizontal="center" vertical="center" wrapText="1"/>
      <protection/>
    </xf>
    <xf numFmtId="4" fontId="6" fillId="33" borderId="16" xfId="57" applyNumberFormat="1" applyFont="1" applyFill="1" applyBorder="1" applyAlignment="1">
      <alignment horizontal="center" vertical="center" wrapText="1"/>
      <protection/>
    </xf>
    <xf numFmtId="4" fontId="4" fillId="33" borderId="11" xfId="57" applyNumberFormat="1" applyFont="1" applyFill="1" applyBorder="1" applyAlignment="1">
      <alignment horizontal="center" vertical="center" wrapText="1"/>
      <protection/>
    </xf>
    <xf numFmtId="4" fontId="6" fillId="33" borderId="11" xfId="67" applyNumberFormat="1" applyFont="1" applyFill="1" applyBorder="1" applyAlignment="1">
      <alignment horizontal="center" vertical="center" wrapText="1"/>
    </xf>
    <xf numFmtId="4" fontId="6" fillId="33" borderId="14" xfId="67" applyNumberFormat="1" applyFont="1" applyFill="1" applyBorder="1" applyAlignment="1">
      <alignment horizontal="center" vertical="center" wrapText="1"/>
    </xf>
    <xf numFmtId="0" fontId="6" fillId="33" borderId="11" xfId="57" applyFont="1" applyFill="1" applyBorder="1" applyAlignment="1">
      <alignment horizontal="center" vertical="center"/>
      <protection/>
    </xf>
    <xf numFmtId="0" fontId="9" fillId="33" borderId="11" xfId="57" applyFont="1" applyFill="1" applyBorder="1" applyAlignment="1">
      <alignment horizontal="center" vertical="center" wrapText="1"/>
      <protection/>
    </xf>
    <xf numFmtId="0" fontId="9" fillId="33" borderId="10" xfId="57" applyFont="1" applyFill="1" applyBorder="1" applyAlignment="1">
      <alignment horizontal="center" vertical="center"/>
      <protection/>
    </xf>
    <xf numFmtId="0" fontId="9" fillId="33" borderId="11" xfId="57" applyFont="1" applyFill="1" applyBorder="1" applyAlignment="1">
      <alignment horizontal="center" vertical="center"/>
      <protection/>
    </xf>
    <xf numFmtId="0" fontId="6" fillId="33" borderId="15" xfId="57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2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left" vertical="center" wrapText="1"/>
    </xf>
    <xf numFmtId="4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4" fontId="9" fillId="0" borderId="0" xfId="0" applyNumberFormat="1" applyFont="1" applyAlignment="1">
      <alignment/>
    </xf>
    <xf numFmtId="4" fontId="13" fillId="0" borderId="0" xfId="0" applyNumberFormat="1" applyFont="1" applyAlignment="1">
      <alignment horizontal="right"/>
    </xf>
    <xf numFmtId="4" fontId="13" fillId="2" borderId="11" xfId="0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/>
    </xf>
    <xf numFmtId="49" fontId="9" fillId="2" borderId="11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1" xfId="0" applyNumberFormat="1" applyFont="1" applyBorder="1" applyAlignment="1">
      <alignment/>
    </xf>
    <xf numFmtId="49" fontId="9" fillId="0" borderId="18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left" wrapText="1"/>
    </xf>
    <xf numFmtId="4" fontId="9" fillId="0" borderId="18" xfId="0" applyNumberFormat="1" applyFont="1" applyBorder="1" applyAlignment="1">
      <alignment vertical="center"/>
    </xf>
    <xf numFmtId="4" fontId="9" fillId="0" borderId="19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/>
    </xf>
    <xf numFmtId="4" fontId="9" fillId="33" borderId="11" xfId="0" applyNumberFormat="1" applyFont="1" applyFill="1" applyBorder="1" applyAlignment="1">
      <alignment vertical="center"/>
    </xf>
    <xf numFmtId="0" fontId="9" fillId="0" borderId="17" xfId="0" applyFont="1" applyBorder="1" applyAlignment="1">
      <alignment wrapText="1"/>
    </xf>
    <xf numFmtId="4" fontId="9" fillId="0" borderId="17" xfId="0" applyNumberFormat="1" applyFont="1" applyBorder="1" applyAlignment="1">
      <alignment vertical="center"/>
    </xf>
    <xf numFmtId="14" fontId="9" fillId="0" borderId="17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33" borderId="18" xfId="0" applyNumberFormat="1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wrapText="1"/>
    </xf>
    <xf numFmtId="49" fontId="9" fillId="33" borderId="17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 wrapText="1"/>
    </xf>
    <xf numFmtId="0" fontId="9" fillId="33" borderId="11" xfId="0" applyNumberFormat="1" applyFont="1" applyFill="1" applyBorder="1" applyAlignment="1">
      <alignment horizontal="left" vertical="center" wrapText="1"/>
    </xf>
    <xf numFmtId="4" fontId="9" fillId="33" borderId="11" xfId="65" applyNumberFormat="1" applyFont="1" applyFill="1" applyBorder="1" applyAlignment="1">
      <alignment horizontal="right"/>
    </xf>
    <xf numFmtId="0" fontId="9" fillId="0" borderId="11" xfId="0" applyFont="1" applyBorder="1" applyAlignment="1">
      <alignment vertical="center"/>
    </xf>
    <xf numFmtId="14" fontId="9" fillId="0" borderId="17" xfId="0" applyNumberFormat="1" applyFont="1" applyFill="1" applyBorder="1" applyAlignment="1">
      <alignment horizontal="center" vertical="center" wrapText="1"/>
    </xf>
    <xf numFmtId="14" fontId="9" fillId="33" borderId="11" xfId="0" applyNumberFormat="1" applyFont="1" applyFill="1" applyBorder="1" applyAlignment="1">
      <alignment horizontal="center"/>
    </xf>
    <xf numFmtId="4" fontId="13" fillId="2" borderId="11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4" fontId="13" fillId="2" borderId="11" xfId="0" applyNumberFormat="1" applyFont="1" applyFill="1" applyBorder="1" applyAlignment="1">
      <alignment horizontal="center" vertical="center" wrapText="1"/>
    </xf>
    <xf numFmtId="4" fontId="13" fillId="2" borderId="11" xfId="0" applyNumberFormat="1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13" fillId="0" borderId="17" xfId="0" applyNumberFormat="1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9" fillId="33" borderId="17" xfId="0" applyNumberFormat="1" applyFont="1" applyFill="1" applyBorder="1" applyAlignment="1">
      <alignment horizontal="center" vertical="center" wrapText="1"/>
    </xf>
    <xf numFmtId="4" fontId="9" fillId="33" borderId="18" xfId="0" applyNumberFormat="1" applyFont="1" applyFill="1" applyBorder="1" applyAlignment="1">
      <alignment horizontal="center" vertical="center" wrapText="1"/>
    </xf>
    <xf numFmtId="4" fontId="9" fillId="33" borderId="19" xfId="0" applyNumberFormat="1" applyFont="1" applyFill="1" applyBorder="1" applyAlignment="1">
      <alignment horizontal="center" vertical="center" wrapText="1"/>
    </xf>
    <xf numFmtId="14" fontId="9" fillId="0" borderId="15" xfId="0" applyNumberFormat="1" applyFont="1" applyFill="1" applyBorder="1" applyAlignment="1">
      <alignment horizontal="center" vertical="center"/>
    </xf>
    <xf numFmtId="14" fontId="9" fillId="0" borderId="21" xfId="0" applyNumberFormat="1" applyFont="1" applyFill="1" applyBorder="1" applyAlignment="1">
      <alignment horizontal="center" vertical="center"/>
    </xf>
    <xf numFmtId="14" fontId="9" fillId="0" borderId="20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/>
    </xf>
    <xf numFmtId="0" fontId="56" fillId="33" borderId="14" xfId="57" applyFont="1" applyFill="1" applyBorder="1" applyAlignment="1">
      <alignment horizontal="center" vertical="center" wrapText="1"/>
      <protection/>
    </xf>
    <xf numFmtId="2" fontId="56" fillId="33" borderId="11" xfId="57" applyNumberFormat="1" applyFont="1" applyFill="1" applyBorder="1" applyAlignment="1">
      <alignment horizontal="center" vertical="center" wrapText="1"/>
      <protection/>
    </xf>
    <xf numFmtId="0" fontId="56" fillId="33" borderId="11" xfId="57" applyFont="1" applyFill="1" applyBorder="1" applyAlignment="1">
      <alignment horizontal="center" vertical="center" wrapText="1"/>
      <protection/>
    </xf>
    <xf numFmtId="0" fontId="57" fillId="33" borderId="30" xfId="57" applyFont="1" applyFill="1" applyBorder="1" applyAlignment="1">
      <alignment horizontal="center" vertical="center" wrapText="1"/>
      <protection/>
    </xf>
    <xf numFmtId="4" fontId="6" fillId="33" borderId="11" xfId="67" applyNumberFormat="1" applyFont="1" applyFill="1" applyBorder="1" applyAlignment="1">
      <alignment horizontal="center" vertical="center" wrapText="1"/>
    </xf>
    <xf numFmtId="0" fontId="57" fillId="2" borderId="31" xfId="57" applyFont="1" applyFill="1" applyBorder="1" applyAlignment="1">
      <alignment horizontal="center" vertical="center" wrapText="1"/>
      <protection/>
    </xf>
    <xf numFmtId="0" fontId="57" fillId="2" borderId="32" xfId="57" applyFont="1" applyFill="1" applyBorder="1" applyAlignment="1">
      <alignment horizontal="center" vertical="center" wrapText="1"/>
      <protection/>
    </xf>
    <xf numFmtId="0" fontId="57" fillId="2" borderId="33" xfId="57" applyFont="1" applyFill="1" applyBorder="1" applyAlignment="1">
      <alignment horizontal="center" vertical="center" wrapText="1"/>
      <protection/>
    </xf>
    <xf numFmtId="0" fontId="6" fillId="33" borderId="11" xfId="57" applyFont="1" applyFill="1" applyBorder="1" applyAlignment="1">
      <alignment horizontal="center" vertical="center" wrapText="1"/>
      <protection/>
    </xf>
    <xf numFmtId="4" fontId="6" fillId="33" borderId="14" xfId="57" applyNumberFormat="1" applyFont="1" applyFill="1" applyBorder="1" applyAlignment="1">
      <alignment horizontal="center" vertical="center" wrapText="1"/>
      <protection/>
    </xf>
    <xf numFmtId="0" fontId="57" fillId="19" borderId="30" xfId="57" applyFont="1" applyFill="1" applyBorder="1" applyAlignment="1">
      <alignment horizontal="center" vertical="center" wrapText="1"/>
      <protection/>
    </xf>
    <xf numFmtId="0" fontId="57" fillId="19" borderId="11" xfId="57" applyFont="1" applyFill="1" applyBorder="1" applyAlignment="1">
      <alignment horizontal="center" vertical="center" wrapText="1"/>
      <protection/>
    </xf>
    <xf numFmtId="0" fontId="57" fillId="19" borderId="14" xfId="57" applyFont="1" applyFill="1" applyBorder="1" applyAlignment="1">
      <alignment horizontal="center" vertical="center" wrapText="1"/>
      <protection/>
    </xf>
    <xf numFmtId="4" fontId="6" fillId="33" borderId="15" xfId="67" applyNumberFormat="1" applyFont="1" applyFill="1" applyBorder="1" applyAlignment="1">
      <alignment horizontal="center" vertical="center" wrapText="1"/>
    </xf>
    <xf numFmtId="0" fontId="6" fillId="33" borderId="14" xfId="57" applyFont="1" applyFill="1" applyBorder="1" applyAlignment="1">
      <alignment horizontal="center" vertical="center" wrapText="1"/>
      <protection/>
    </xf>
    <xf numFmtId="0" fontId="6" fillId="33" borderId="16" xfId="57" applyFont="1" applyFill="1" applyBorder="1" applyAlignment="1">
      <alignment horizontal="center" vertical="center" wrapText="1"/>
      <protection/>
    </xf>
    <xf numFmtId="4" fontId="6" fillId="0" borderId="14" xfId="57" applyNumberFormat="1" applyFont="1" applyBorder="1" applyAlignment="1">
      <alignment horizontal="center" vertical="center" wrapText="1"/>
      <protection/>
    </xf>
    <xf numFmtId="4" fontId="6" fillId="0" borderId="34" xfId="57" applyNumberFormat="1" applyFont="1" applyBorder="1" applyAlignment="1">
      <alignment horizontal="center" vertical="center" wrapText="1"/>
      <protection/>
    </xf>
    <xf numFmtId="0" fontId="57" fillId="2" borderId="30" xfId="57" applyFont="1" applyFill="1" applyBorder="1" applyAlignment="1">
      <alignment horizontal="center" vertical="center" wrapText="1"/>
      <protection/>
    </xf>
    <xf numFmtId="0" fontId="57" fillId="2" borderId="11" xfId="57" applyFont="1" applyFill="1" applyBorder="1" applyAlignment="1">
      <alignment horizontal="center" vertical="center" wrapText="1"/>
      <protection/>
    </xf>
    <xf numFmtId="0" fontId="57" fillId="2" borderId="14" xfId="57" applyFont="1" applyFill="1" applyBorder="1" applyAlignment="1">
      <alignment horizontal="center" vertical="center" wrapText="1"/>
      <protection/>
    </xf>
    <xf numFmtId="49" fontId="0" fillId="33" borderId="30" xfId="54" applyNumberFormat="1" applyFont="1" applyFill="1" applyBorder="1" applyAlignment="1">
      <alignment horizontal="center" vertical="center"/>
      <protection/>
    </xf>
    <xf numFmtId="4" fontId="6" fillId="33" borderId="14" xfId="67" applyNumberFormat="1" applyFont="1" applyFill="1" applyBorder="1" applyAlignment="1">
      <alignment horizontal="center" vertical="center" wrapText="1"/>
    </xf>
    <xf numFmtId="0" fontId="56" fillId="33" borderId="30" xfId="57" applyFont="1" applyFill="1" applyBorder="1" applyAlignment="1">
      <alignment horizontal="center" vertical="center" wrapText="1"/>
      <protection/>
    </xf>
    <xf numFmtId="0" fontId="6" fillId="33" borderId="11" xfId="57" applyFont="1" applyFill="1" applyBorder="1" applyAlignment="1">
      <alignment horizontal="center" vertical="center" wrapText="1"/>
      <protection/>
    </xf>
    <xf numFmtId="4" fontId="6" fillId="33" borderId="14" xfId="57" applyNumberFormat="1" applyFont="1" applyFill="1" applyBorder="1" applyAlignment="1">
      <alignment horizontal="center" vertical="center" wrapText="1"/>
      <protection/>
    </xf>
    <xf numFmtId="0" fontId="6" fillId="33" borderId="15" xfId="57" applyFont="1" applyFill="1" applyBorder="1" applyAlignment="1">
      <alignment horizontal="center" vertical="center" wrapText="1"/>
      <protection/>
    </xf>
    <xf numFmtId="0" fontId="6" fillId="33" borderId="21" xfId="57" applyFont="1" applyFill="1" applyBorder="1" applyAlignment="1">
      <alignment horizontal="center" vertical="center" wrapText="1"/>
      <protection/>
    </xf>
    <xf numFmtId="4" fontId="6" fillId="33" borderId="16" xfId="57" applyNumberFormat="1" applyFont="1" applyFill="1" applyBorder="1" applyAlignment="1">
      <alignment horizontal="center" vertical="center" wrapText="1"/>
      <protection/>
    </xf>
    <xf numFmtId="4" fontId="6" fillId="33" borderId="35" xfId="57" applyNumberFormat="1" applyFont="1" applyFill="1" applyBorder="1" applyAlignment="1">
      <alignment horizontal="center" vertical="center" wrapText="1"/>
      <protection/>
    </xf>
    <xf numFmtId="0" fontId="6" fillId="33" borderId="30" xfId="57" applyFont="1" applyFill="1" applyBorder="1" applyAlignment="1">
      <alignment horizontal="center" vertical="center" wrapText="1"/>
      <protection/>
    </xf>
    <xf numFmtId="14" fontId="6" fillId="33" borderId="11" xfId="57" applyNumberFormat="1" applyFont="1" applyFill="1" applyBorder="1" applyAlignment="1">
      <alignment horizontal="center" vertical="center" wrapText="1"/>
      <protection/>
    </xf>
    <xf numFmtId="0" fontId="58" fillId="12" borderId="12" xfId="57" applyFont="1" applyFill="1" applyBorder="1" applyAlignment="1">
      <alignment horizontal="center" vertical="center" wrapText="1"/>
      <protection/>
    </xf>
    <xf numFmtId="0" fontId="58" fillId="12" borderId="36" xfId="57" applyFont="1" applyFill="1" applyBorder="1" applyAlignment="1">
      <alignment horizontal="center" vertical="center" wrapText="1"/>
      <protection/>
    </xf>
    <xf numFmtId="0" fontId="58" fillId="12" borderId="13" xfId="57" applyFont="1" applyFill="1" applyBorder="1" applyAlignment="1">
      <alignment horizontal="center" vertical="center" wrapText="1"/>
      <protection/>
    </xf>
    <xf numFmtId="2" fontId="6" fillId="33" borderId="11" xfId="57" applyNumberFormat="1" applyFont="1" applyFill="1" applyBorder="1" applyAlignment="1">
      <alignment horizontal="center" vertical="center" wrapText="1"/>
      <protection/>
    </xf>
    <xf numFmtId="14" fontId="6" fillId="33" borderId="11" xfId="57" applyNumberFormat="1" applyFont="1" applyFill="1" applyBorder="1" applyAlignment="1">
      <alignment horizontal="center" vertical="center" wrapText="1"/>
      <protection/>
    </xf>
    <xf numFmtId="2" fontId="6" fillId="33" borderId="11" xfId="57" applyNumberFormat="1" applyFont="1" applyFill="1" applyBorder="1" applyAlignment="1">
      <alignment horizontal="center" vertical="center" wrapText="1"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0" fontId="0" fillId="33" borderId="30" xfId="54" applyFont="1" applyFill="1" applyBorder="1" applyAlignment="1">
      <alignment horizontal="center" vertical="center"/>
      <protection/>
    </xf>
    <xf numFmtId="49" fontId="0" fillId="33" borderId="37" xfId="54" applyNumberFormat="1" applyFont="1" applyFill="1" applyBorder="1" applyAlignment="1">
      <alignment horizontal="center" vertical="center"/>
      <protection/>
    </xf>
    <xf numFmtId="4" fontId="6" fillId="33" borderId="34" xfId="57" applyNumberFormat="1" applyFont="1" applyFill="1" applyBorder="1" applyAlignment="1">
      <alignment horizontal="center" vertical="center" wrapText="1"/>
      <protection/>
    </xf>
    <xf numFmtId="0" fontId="6" fillId="0" borderId="30" xfId="57" applyFont="1" applyBorder="1" applyAlignment="1">
      <alignment horizontal="center" vertical="center" wrapText="1"/>
      <protection/>
    </xf>
    <xf numFmtId="2" fontId="6" fillId="0" borderId="11" xfId="57" applyNumberFormat="1" applyFont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6" fillId="0" borderId="37" xfId="57" applyFont="1" applyBorder="1" applyAlignment="1">
      <alignment horizontal="center" vertical="center" wrapText="1"/>
      <protection/>
    </xf>
    <xf numFmtId="2" fontId="6" fillId="0" borderId="10" xfId="57" applyNumberFormat="1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4" fontId="6" fillId="0" borderId="11" xfId="57" applyNumberFormat="1" applyFont="1" applyBorder="1" applyAlignment="1">
      <alignment horizontal="center" vertical="center" wrapText="1"/>
      <protection/>
    </xf>
    <xf numFmtId="4" fontId="6" fillId="0" borderId="10" xfId="57" applyNumberFormat="1" applyFont="1" applyBorder="1" applyAlignment="1">
      <alignment horizontal="center" vertical="center" wrapText="1"/>
      <protection/>
    </xf>
    <xf numFmtId="0" fontId="58" fillId="12" borderId="38" xfId="57" applyFont="1" applyFill="1" applyBorder="1" applyAlignment="1">
      <alignment horizontal="center" vertical="center" wrapText="1"/>
      <protection/>
    </xf>
    <xf numFmtId="0" fontId="58" fillId="12" borderId="39" xfId="57" applyFont="1" applyFill="1" applyBorder="1" applyAlignment="1">
      <alignment horizontal="center" vertical="center" wrapText="1"/>
      <protection/>
    </xf>
    <xf numFmtId="0" fontId="58" fillId="12" borderId="40" xfId="57" applyFont="1" applyFill="1" applyBorder="1" applyAlignment="1">
      <alignment horizontal="center" vertical="center" wrapText="1"/>
      <protection/>
    </xf>
    <xf numFmtId="0" fontId="6" fillId="33" borderId="30" xfId="57" applyFont="1" applyFill="1" applyBorder="1" applyAlignment="1">
      <alignment horizontal="center" vertical="center" wrapText="1"/>
      <protection/>
    </xf>
    <xf numFmtId="0" fontId="57" fillId="2" borderId="38" xfId="57" applyFont="1" applyFill="1" applyBorder="1" applyAlignment="1">
      <alignment horizontal="center" vertical="center" wrapText="1"/>
      <protection/>
    </xf>
    <xf numFmtId="0" fontId="57" fillId="2" borderId="39" xfId="57" applyFont="1" applyFill="1" applyBorder="1" applyAlignment="1">
      <alignment horizontal="center" vertical="center" wrapText="1"/>
      <protection/>
    </xf>
    <xf numFmtId="0" fontId="57" fillId="2" borderId="40" xfId="57" applyFont="1" applyFill="1" applyBorder="1" applyAlignment="1">
      <alignment horizontal="center" vertical="center" wrapText="1"/>
      <protection/>
    </xf>
    <xf numFmtId="0" fontId="57" fillId="19" borderId="31" xfId="57" applyFont="1" applyFill="1" applyBorder="1" applyAlignment="1">
      <alignment horizontal="center" vertical="center" wrapText="1"/>
      <protection/>
    </xf>
    <xf numFmtId="0" fontId="57" fillId="19" borderId="32" xfId="57" applyFont="1" applyFill="1" applyBorder="1" applyAlignment="1">
      <alignment horizontal="center" vertical="center" wrapText="1"/>
      <protection/>
    </xf>
    <xf numFmtId="0" fontId="57" fillId="19" borderId="33" xfId="57" applyFont="1" applyFill="1" applyBorder="1" applyAlignment="1">
      <alignment horizontal="center" vertical="center" wrapText="1"/>
      <protection/>
    </xf>
    <xf numFmtId="0" fontId="57" fillId="33" borderId="37" xfId="57" applyFont="1" applyFill="1" applyBorder="1" applyAlignment="1">
      <alignment horizontal="center" vertical="center" wrapText="1"/>
      <protection/>
    </xf>
    <xf numFmtId="0" fontId="56" fillId="33" borderId="10" xfId="57" applyFont="1" applyFill="1" applyBorder="1" applyAlignment="1">
      <alignment horizontal="center" vertical="center" wrapText="1"/>
      <protection/>
    </xf>
    <xf numFmtId="0" fontId="56" fillId="33" borderId="34" xfId="57" applyFont="1" applyFill="1" applyBorder="1" applyAlignment="1">
      <alignment horizontal="center" vertical="center" wrapText="1"/>
      <protection/>
    </xf>
    <xf numFmtId="0" fontId="58" fillId="12" borderId="41" xfId="57" applyFont="1" applyFill="1" applyBorder="1" applyAlignment="1">
      <alignment horizontal="center" vertical="center" wrapText="1"/>
      <protection/>
    </xf>
    <xf numFmtId="0" fontId="58" fillId="12" borderId="21" xfId="57" applyFont="1" applyFill="1" applyBorder="1" applyAlignment="1">
      <alignment horizontal="center" vertical="center" wrapText="1"/>
      <protection/>
    </xf>
    <xf numFmtId="0" fontId="58" fillId="12" borderId="35" xfId="57" applyFont="1" applyFill="1" applyBorder="1" applyAlignment="1">
      <alignment horizontal="center" vertical="center" wrapText="1"/>
      <protection/>
    </xf>
    <xf numFmtId="0" fontId="57" fillId="2" borderId="42" xfId="57" applyFont="1" applyFill="1" applyBorder="1" applyAlignment="1">
      <alignment horizontal="center" vertical="center" wrapText="1"/>
      <protection/>
    </xf>
    <xf numFmtId="0" fontId="57" fillId="2" borderId="20" xfId="57" applyFont="1" applyFill="1" applyBorder="1" applyAlignment="1">
      <alignment horizontal="center" vertical="center" wrapText="1"/>
      <protection/>
    </xf>
    <xf numFmtId="0" fontId="57" fillId="2" borderId="43" xfId="57" applyFont="1" applyFill="1" applyBorder="1" applyAlignment="1">
      <alignment horizontal="center" vertical="center" wrapText="1"/>
      <protection/>
    </xf>
    <xf numFmtId="0" fontId="6" fillId="33" borderId="44" xfId="57" applyFont="1" applyFill="1" applyBorder="1" applyAlignment="1">
      <alignment horizontal="center" vertical="center" wrapText="1"/>
      <protection/>
    </xf>
    <xf numFmtId="0" fontId="6" fillId="33" borderId="15" xfId="57" applyFont="1" applyFill="1" applyBorder="1" applyAlignment="1">
      <alignment horizontal="center" vertical="center" wrapText="1"/>
      <protection/>
    </xf>
    <xf numFmtId="2" fontId="6" fillId="33" borderId="15" xfId="57" applyNumberFormat="1" applyFont="1" applyFill="1" applyBorder="1" applyAlignment="1">
      <alignment horizontal="center" vertical="center" wrapText="1"/>
      <protection/>
    </xf>
    <xf numFmtId="0" fontId="9" fillId="33" borderId="11" xfId="57" applyFont="1" applyFill="1" applyBorder="1" applyAlignment="1">
      <alignment horizontal="center" vertical="center" wrapText="1"/>
      <protection/>
    </xf>
    <xf numFmtId="14" fontId="9" fillId="33" borderId="11" xfId="57" applyNumberFormat="1" applyFont="1" applyFill="1" applyBorder="1" applyAlignment="1">
      <alignment horizontal="center" vertical="center" wrapText="1"/>
      <protection/>
    </xf>
    <xf numFmtId="0" fontId="6" fillId="33" borderId="37" xfId="57" applyFont="1" applyFill="1" applyBorder="1" applyAlignment="1">
      <alignment horizontal="center" vertical="center" wrapText="1"/>
      <protection/>
    </xf>
    <xf numFmtId="2" fontId="6" fillId="33" borderId="10" xfId="57" applyNumberFormat="1" applyFont="1" applyFill="1" applyBorder="1" applyAlignment="1">
      <alignment horizontal="center" vertical="center" wrapText="1"/>
      <protection/>
    </xf>
    <xf numFmtId="4" fontId="10" fillId="33" borderId="14" xfId="56" applyNumberFormat="1" applyFont="1" applyFill="1" applyBorder="1" applyAlignment="1" applyProtection="1">
      <alignment horizontal="center" vertical="center" wrapText="1"/>
      <protection locked="0"/>
    </xf>
    <xf numFmtId="4" fontId="10" fillId="33" borderId="34" xfId="56" applyNumberFormat="1" applyFont="1" applyFill="1" applyBorder="1" applyAlignment="1" applyProtection="1">
      <alignment horizontal="center" vertical="center" wrapText="1"/>
      <protection locked="0"/>
    </xf>
    <xf numFmtId="175" fontId="6" fillId="33" borderId="14" xfId="57" applyNumberFormat="1" applyFont="1" applyFill="1" applyBorder="1" applyAlignment="1">
      <alignment horizontal="center" vertical="center" wrapText="1"/>
      <protection/>
    </xf>
    <xf numFmtId="2" fontId="6" fillId="33" borderId="15" xfId="57" applyNumberFormat="1" applyFont="1" applyFill="1" applyBorder="1" applyAlignment="1">
      <alignment horizontal="center" vertical="center" wrapText="1"/>
      <protection/>
    </xf>
    <xf numFmtId="2" fontId="10" fillId="33" borderId="11" xfId="56" applyNumberFormat="1" applyFont="1" applyFill="1" applyBorder="1" applyAlignment="1">
      <alignment horizontal="center" vertical="center" wrapText="1"/>
      <protection/>
    </xf>
    <xf numFmtId="0" fontId="4" fillId="0" borderId="0" xfId="57" applyFont="1" applyBorder="1" applyAlignment="1">
      <alignment horizontal="center" vertical="center" wrapText="1"/>
      <protection/>
    </xf>
    <xf numFmtId="0" fontId="6" fillId="33" borderId="44" xfId="57" applyFont="1" applyFill="1" applyBorder="1" applyAlignment="1">
      <alignment horizontal="center" vertical="center" wrapText="1"/>
      <protection/>
    </xf>
    <xf numFmtId="2" fontId="6" fillId="33" borderId="14" xfId="57" applyNumberFormat="1" applyFont="1" applyFill="1" applyBorder="1" applyAlignment="1">
      <alignment horizontal="center" vertical="center" wrapText="1"/>
      <protection/>
    </xf>
    <xf numFmtId="2" fontId="6" fillId="33" borderId="16" xfId="57" applyNumberFormat="1" applyFont="1" applyFill="1" applyBorder="1" applyAlignment="1">
      <alignment horizontal="center" vertical="center" wrapText="1"/>
      <protection/>
    </xf>
    <xf numFmtId="14" fontId="9" fillId="33" borderId="10" xfId="57" applyNumberFormat="1" applyFont="1" applyFill="1" applyBorder="1" applyAlignment="1">
      <alignment horizontal="center" vertical="center" wrapText="1"/>
      <protection/>
    </xf>
    <xf numFmtId="0" fontId="9" fillId="33" borderId="10" xfId="57" applyFont="1" applyFill="1" applyBorder="1" applyAlignment="1">
      <alignment horizontal="center" vertical="center" wrapText="1"/>
      <protection/>
    </xf>
    <xf numFmtId="175" fontId="6" fillId="33" borderId="34" xfId="57" applyNumberFormat="1" applyFont="1" applyFill="1" applyBorder="1" applyAlignment="1">
      <alignment horizontal="center" vertical="center" wrapText="1"/>
      <protection/>
    </xf>
    <xf numFmtId="175" fontId="6" fillId="33" borderId="11" xfId="57" applyNumberFormat="1" applyFont="1" applyFill="1" applyBorder="1" applyAlignment="1">
      <alignment horizontal="center" vertical="center" wrapText="1"/>
      <protection/>
    </xf>
    <xf numFmtId="175" fontId="6" fillId="33" borderId="10" xfId="57" applyNumberFormat="1" applyFont="1" applyFill="1" applyBorder="1" applyAlignment="1">
      <alignment horizontal="center" vertical="center" wrapText="1"/>
      <protection/>
    </xf>
    <xf numFmtId="0" fontId="6" fillId="33" borderId="14" xfId="57" applyFont="1" applyFill="1" applyBorder="1" applyAlignment="1">
      <alignment horizontal="center" vertical="center" wrapText="1"/>
      <protection/>
    </xf>
    <xf numFmtId="0" fontId="5" fillId="2" borderId="38" xfId="55" applyFont="1" applyFill="1" applyBorder="1" applyAlignment="1">
      <alignment horizontal="center"/>
      <protection/>
    </xf>
    <xf numFmtId="0" fontId="5" fillId="2" borderId="39" xfId="55" applyFont="1" applyFill="1" applyBorder="1" applyAlignment="1">
      <alignment horizontal="center"/>
      <protection/>
    </xf>
    <xf numFmtId="0" fontId="5" fillId="2" borderId="40" xfId="55" applyFont="1" applyFill="1" applyBorder="1" applyAlignment="1">
      <alignment horizontal="center"/>
      <protection/>
    </xf>
    <xf numFmtId="0" fontId="4" fillId="34" borderId="38" xfId="57" applyFont="1" applyFill="1" applyBorder="1" applyAlignment="1">
      <alignment horizontal="center" vertical="center" wrapText="1"/>
      <protection/>
    </xf>
    <xf numFmtId="0" fontId="4" fillId="34" borderId="39" xfId="57" applyFont="1" applyFill="1" applyBorder="1" applyAlignment="1">
      <alignment horizontal="center" vertical="center" wrapText="1"/>
      <protection/>
    </xf>
    <xf numFmtId="0" fontId="4" fillId="34" borderId="40" xfId="57" applyFont="1" applyFill="1" applyBorder="1" applyAlignment="1">
      <alignment horizontal="center" vertical="center" wrapText="1"/>
      <protection/>
    </xf>
    <xf numFmtId="0" fontId="6" fillId="33" borderId="41" xfId="57" applyFont="1" applyFill="1" applyBorder="1" applyAlignment="1">
      <alignment horizontal="center" vertical="center" wrapText="1"/>
      <protection/>
    </xf>
    <xf numFmtId="0" fontId="6" fillId="33" borderId="42" xfId="57" applyFont="1" applyFill="1" applyBorder="1" applyAlignment="1">
      <alignment horizontal="center" vertical="center" wrapText="1"/>
      <protection/>
    </xf>
    <xf numFmtId="0" fontId="5" fillId="2" borderId="45" xfId="57" applyFont="1" applyFill="1" applyBorder="1" applyAlignment="1">
      <alignment horizontal="center" vertical="center" wrapText="1"/>
      <protection/>
    </xf>
    <xf numFmtId="0" fontId="5" fillId="2" borderId="46" xfId="57" applyFont="1" applyFill="1" applyBorder="1" applyAlignment="1">
      <alignment horizontal="center" vertical="center" wrapText="1"/>
      <protection/>
    </xf>
    <xf numFmtId="0" fontId="5" fillId="2" borderId="47" xfId="57" applyFont="1" applyFill="1" applyBorder="1" applyAlignment="1">
      <alignment horizontal="center" vertical="center" wrapText="1"/>
      <protection/>
    </xf>
    <xf numFmtId="0" fontId="5" fillId="2" borderId="48" xfId="57" applyFont="1" applyFill="1" applyBorder="1" applyAlignment="1">
      <alignment horizontal="center" vertical="center" wrapText="1"/>
      <protection/>
    </xf>
    <xf numFmtId="0" fontId="5" fillId="2" borderId="49" xfId="57" applyFont="1" applyFill="1" applyBorder="1" applyAlignment="1">
      <alignment horizontal="center" vertical="center" wrapText="1"/>
      <protection/>
    </xf>
    <xf numFmtId="0" fontId="5" fillId="2" borderId="50" xfId="57" applyFont="1" applyFill="1" applyBorder="1" applyAlignment="1">
      <alignment horizontal="center" vertical="center" wrapText="1"/>
      <protection/>
    </xf>
    <xf numFmtId="0" fontId="5" fillId="2" borderId="51" xfId="57" applyFont="1" applyFill="1" applyBorder="1" applyAlignment="1">
      <alignment horizontal="center" vertical="center" wrapText="1"/>
      <protection/>
    </xf>
    <xf numFmtId="0" fontId="5" fillId="2" borderId="52" xfId="57" applyFont="1" applyFill="1" applyBorder="1" applyAlignment="1">
      <alignment horizontal="center" vertical="center" wrapText="1"/>
      <protection/>
    </xf>
    <xf numFmtId="0" fontId="5" fillId="2" borderId="53" xfId="55" applyFont="1" applyFill="1" applyBorder="1" applyAlignment="1">
      <alignment horizontal="center"/>
      <protection/>
    </xf>
    <xf numFmtId="0" fontId="5" fillId="2" borderId="54" xfId="55" applyFont="1" applyFill="1" applyBorder="1" applyAlignment="1">
      <alignment horizontal="center"/>
      <protection/>
    </xf>
    <xf numFmtId="0" fontId="6" fillId="33" borderId="16" xfId="57" applyFont="1" applyFill="1" applyBorder="1" applyAlignment="1">
      <alignment horizontal="center" vertical="center" wrapText="1"/>
      <protection/>
    </xf>
    <xf numFmtId="14" fontId="6" fillId="33" borderId="15" xfId="57" applyNumberFormat="1" applyFont="1" applyFill="1" applyBorder="1" applyAlignment="1">
      <alignment horizontal="center" vertical="center" wrapText="1"/>
      <protection/>
    </xf>
    <xf numFmtId="175" fontId="6" fillId="0" borderId="14" xfId="57" applyNumberFormat="1" applyFont="1" applyBorder="1" applyAlignment="1">
      <alignment horizontal="center" vertical="center" wrapText="1"/>
      <protection/>
    </xf>
    <xf numFmtId="0" fontId="57" fillId="19" borderId="30" xfId="57" applyFont="1" applyFill="1" applyBorder="1" applyAlignment="1">
      <alignment horizontal="center" vertical="center" wrapText="1"/>
      <protection/>
    </xf>
    <xf numFmtId="0" fontId="57" fillId="19" borderId="11" xfId="57" applyFont="1" applyFill="1" applyBorder="1" applyAlignment="1">
      <alignment horizontal="center" vertical="center" wrapText="1"/>
      <protection/>
    </xf>
    <xf numFmtId="0" fontId="57" fillId="19" borderId="14" xfId="57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19 07 2007 Тарифы на передачу РСК на 2007 год (2)" xfId="55"/>
    <cellStyle name="Обычный_Лист1" xfId="56"/>
    <cellStyle name="Обычный_Приложение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1819275</xdr:colOff>
      <xdr:row>10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57975" y="2590800"/>
          <a:ext cx="1819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8</xdr:row>
      <xdr:rowOff>171450</xdr:rowOff>
    </xdr:from>
    <xdr:to>
      <xdr:col>6</xdr:col>
      <xdr:colOff>1685925</xdr:colOff>
      <xdr:row>9</xdr:row>
      <xdr:rowOff>180975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39175" y="2571750"/>
          <a:ext cx="15621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21</xdr:row>
      <xdr:rowOff>9525</xdr:rowOff>
    </xdr:from>
    <xdr:to>
      <xdr:col>5</xdr:col>
      <xdr:colOff>1847850</xdr:colOff>
      <xdr:row>22</xdr:row>
      <xdr:rowOff>9525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86550" y="4876800"/>
          <a:ext cx="1819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20</xdr:row>
      <xdr:rowOff>180975</xdr:rowOff>
    </xdr:from>
    <xdr:to>
      <xdr:col>6</xdr:col>
      <xdr:colOff>1685925</xdr:colOff>
      <xdr:row>22</xdr:row>
      <xdr:rowOff>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39175" y="4857750"/>
          <a:ext cx="15621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21</xdr:row>
      <xdr:rowOff>19050</xdr:rowOff>
    </xdr:from>
    <xdr:to>
      <xdr:col>5</xdr:col>
      <xdr:colOff>1847850</xdr:colOff>
      <xdr:row>22</xdr:row>
      <xdr:rowOff>19050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86550" y="4886325"/>
          <a:ext cx="1819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130</xdr:row>
      <xdr:rowOff>76200</xdr:rowOff>
    </xdr:from>
    <xdr:to>
      <xdr:col>5</xdr:col>
      <xdr:colOff>1743075</xdr:colOff>
      <xdr:row>130</xdr:row>
      <xdr:rowOff>304800</xdr:rowOff>
    </xdr:to>
    <xdr:pic>
      <xdr:nvPicPr>
        <xdr:cNvPr id="6" name="Рисунок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15125" y="28165425"/>
          <a:ext cx="1685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130</xdr:row>
      <xdr:rowOff>28575</xdr:rowOff>
    </xdr:from>
    <xdr:to>
      <xdr:col>6</xdr:col>
      <xdr:colOff>1685925</xdr:colOff>
      <xdr:row>130</xdr:row>
      <xdr:rowOff>314325</xdr:rowOff>
    </xdr:to>
    <xdr:pic>
      <xdr:nvPicPr>
        <xdr:cNvPr id="7" name="Рисунок 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29650" y="28117800"/>
          <a:ext cx="1571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142</xdr:row>
      <xdr:rowOff>9525</xdr:rowOff>
    </xdr:from>
    <xdr:to>
      <xdr:col>5</xdr:col>
      <xdr:colOff>1790700</xdr:colOff>
      <xdr:row>142</xdr:row>
      <xdr:rowOff>295275</xdr:rowOff>
    </xdr:to>
    <xdr:pic>
      <xdr:nvPicPr>
        <xdr:cNvPr id="8" name="Рисунок 1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43700" y="30603825"/>
          <a:ext cx="1704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142</xdr:row>
      <xdr:rowOff>0</xdr:rowOff>
    </xdr:from>
    <xdr:to>
      <xdr:col>6</xdr:col>
      <xdr:colOff>1562100</xdr:colOff>
      <xdr:row>142</xdr:row>
      <xdr:rowOff>257175</xdr:rowOff>
    </xdr:to>
    <xdr:pic>
      <xdr:nvPicPr>
        <xdr:cNvPr id="9" name="Рисунок 12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39175" y="30594300"/>
          <a:ext cx="1438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152</xdr:row>
      <xdr:rowOff>66675</xdr:rowOff>
    </xdr:from>
    <xdr:to>
      <xdr:col>5</xdr:col>
      <xdr:colOff>1857375</xdr:colOff>
      <xdr:row>152</xdr:row>
      <xdr:rowOff>257175</xdr:rowOff>
    </xdr:to>
    <xdr:pic>
      <xdr:nvPicPr>
        <xdr:cNvPr id="10" name="Рисунок 13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57975" y="32899350"/>
          <a:ext cx="18573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152</xdr:row>
      <xdr:rowOff>85725</xdr:rowOff>
    </xdr:from>
    <xdr:to>
      <xdr:col>6</xdr:col>
      <xdr:colOff>1790700</xdr:colOff>
      <xdr:row>152</xdr:row>
      <xdr:rowOff>238125</xdr:rowOff>
    </xdr:to>
    <xdr:pic>
      <xdr:nvPicPr>
        <xdr:cNvPr id="11" name="Рисунок 14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82025" y="32918400"/>
          <a:ext cx="1724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170</xdr:row>
      <xdr:rowOff>76200</xdr:rowOff>
    </xdr:from>
    <xdr:to>
      <xdr:col>5</xdr:col>
      <xdr:colOff>1857375</xdr:colOff>
      <xdr:row>170</xdr:row>
      <xdr:rowOff>266700</xdr:rowOff>
    </xdr:to>
    <xdr:pic>
      <xdr:nvPicPr>
        <xdr:cNvPr id="12" name="Рисунок 1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57975" y="36499800"/>
          <a:ext cx="18573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170</xdr:row>
      <xdr:rowOff>76200</xdr:rowOff>
    </xdr:from>
    <xdr:to>
      <xdr:col>6</xdr:col>
      <xdr:colOff>1781175</xdr:colOff>
      <xdr:row>170</xdr:row>
      <xdr:rowOff>228600</xdr:rowOff>
    </xdr:to>
    <xdr:pic>
      <xdr:nvPicPr>
        <xdr:cNvPr id="13" name="Рисунок 16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72500" y="36499800"/>
          <a:ext cx="1724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234</xdr:row>
      <xdr:rowOff>76200</xdr:rowOff>
    </xdr:from>
    <xdr:to>
      <xdr:col>5</xdr:col>
      <xdr:colOff>1809750</xdr:colOff>
      <xdr:row>234</xdr:row>
      <xdr:rowOff>257175</xdr:rowOff>
    </xdr:to>
    <xdr:pic>
      <xdr:nvPicPr>
        <xdr:cNvPr id="14" name="Рисунок 17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96075" y="51044475"/>
          <a:ext cx="1771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234</xdr:row>
      <xdr:rowOff>85725</xdr:rowOff>
    </xdr:from>
    <xdr:to>
      <xdr:col>6</xdr:col>
      <xdr:colOff>1733550</xdr:colOff>
      <xdr:row>234</xdr:row>
      <xdr:rowOff>295275</xdr:rowOff>
    </xdr:to>
    <xdr:pic>
      <xdr:nvPicPr>
        <xdr:cNvPr id="15" name="Рисунок 18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10600" y="51054000"/>
          <a:ext cx="1638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257</xdr:row>
      <xdr:rowOff>0</xdr:rowOff>
    </xdr:from>
    <xdr:to>
      <xdr:col>5</xdr:col>
      <xdr:colOff>1771650</xdr:colOff>
      <xdr:row>257</xdr:row>
      <xdr:rowOff>180975</xdr:rowOff>
    </xdr:to>
    <xdr:pic>
      <xdr:nvPicPr>
        <xdr:cNvPr id="16" name="Рисунок 19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57975" y="55549800"/>
          <a:ext cx="1771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257</xdr:row>
      <xdr:rowOff>9525</xdr:rowOff>
    </xdr:from>
    <xdr:to>
      <xdr:col>6</xdr:col>
      <xdr:colOff>1724025</xdr:colOff>
      <xdr:row>258</xdr:row>
      <xdr:rowOff>28575</xdr:rowOff>
    </xdr:to>
    <xdr:pic>
      <xdr:nvPicPr>
        <xdr:cNvPr id="17" name="Рисунок 20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01075" y="55559325"/>
          <a:ext cx="1638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5"/>
  <sheetViews>
    <sheetView zoomScale="86" zoomScaleNormal="86" zoomScaleSheetLayoutView="100" zoomScalePageLayoutView="0" workbookViewId="0" topLeftCell="A1">
      <pane ySplit="6" topLeftCell="A184" activePane="bottomLeft" state="frozen"/>
      <selection pane="topLeft" activeCell="A1" sqref="A1"/>
      <selection pane="bottomLeft" activeCell="E199" sqref="E199"/>
    </sheetView>
  </sheetViews>
  <sheetFormatPr defaultColWidth="9.140625" defaultRowHeight="12.75"/>
  <cols>
    <col min="1" max="1" width="6.7109375" style="56" customWidth="1"/>
    <col min="2" max="2" width="23.57421875" style="57" customWidth="1"/>
    <col min="3" max="3" width="17.00390625" style="74" customWidth="1"/>
    <col min="4" max="4" width="39.57421875" style="58" customWidth="1"/>
    <col min="5" max="5" width="50.8515625" style="57" customWidth="1"/>
    <col min="6" max="6" width="17.57421875" style="68" customWidth="1"/>
    <col min="7" max="7" width="17.28125" style="68" customWidth="1"/>
    <col min="8" max="8" width="18.00390625" style="68" customWidth="1"/>
    <col min="9" max="9" width="15.00390625" style="68" customWidth="1"/>
    <col min="10" max="10" width="14.00390625" style="68" customWidth="1"/>
    <col min="11" max="11" width="17.140625" style="68" customWidth="1"/>
    <col min="12" max="16384" width="9.140625" style="56" customWidth="1"/>
  </cols>
  <sheetData>
    <row r="1" ht="12.75">
      <c r="H1" s="69" t="s">
        <v>22</v>
      </c>
    </row>
    <row r="2" ht="12.75"/>
    <row r="3" spans="1:11" ht="12.75">
      <c r="A3" s="121" t="s">
        <v>6</v>
      </c>
      <c r="B3" s="121" t="s">
        <v>7</v>
      </c>
      <c r="C3" s="120" t="s">
        <v>20</v>
      </c>
      <c r="D3" s="122" t="s">
        <v>21</v>
      </c>
      <c r="E3" s="121" t="s">
        <v>8</v>
      </c>
      <c r="F3" s="105" t="s">
        <v>23</v>
      </c>
      <c r="G3" s="105"/>
      <c r="H3" s="105"/>
      <c r="I3" s="105" t="s">
        <v>24</v>
      </c>
      <c r="J3" s="105"/>
      <c r="K3" s="105"/>
    </row>
    <row r="4" spans="1:11" ht="12.75" customHeight="1">
      <c r="A4" s="121"/>
      <c r="B4" s="121"/>
      <c r="C4" s="120"/>
      <c r="D4" s="122"/>
      <c r="E4" s="121"/>
      <c r="F4" s="110" t="s">
        <v>19</v>
      </c>
      <c r="G4" s="110"/>
      <c r="H4" s="109" t="s">
        <v>11</v>
      </c>
      <c r="I4" s="110" t="s">
        <v>19</v>
      </c>
      <c r="J4" s="110"/>
      <c r="K4" s="109" t="s">
        <v>11</v>
      </c>
    </row>
    <row r="5" spans="1:11" s="57" customFormat="1" ht="45.75" customHeight="1">
      <c r="A5" s="121"/>
      <c r="B5" s="121"/>
      <c r="C5" s="120"/>
      <c r="D5" s="122"/>
      <c r="E5" s="121"/>
      <c r="F5" s="70" t="s">
        <v>9</v>
      </c>
      <c r="G5" s="70" t="s">
        <v>10</v>
      </c>
      <c r="H5" s="109"/>
      <c r="I5" s="70" t="s">
        <v>9</v>
      </c>
      <c r="J5" s="70" t="s">
        <v>10</v>
      </c>
      <c r="K5" s="109"/>
    </row>
    <row r="6" spans="1:11" ht="20.25" customHeight="1">
      <c r="A6" s="121"/>
      <c r="B6" s="121"/>
      <c r="C6" s="120"/>
      <c r="D6" s="122"/>
      <c r="E6" s="121"/>
      <c r="F6" s="70" t="s">
        <v>12</v>
      </c>
      <c r="G6" s="70" t="s">
        <v>13</v>
      </c>
      <c r="H6" s="70" t="s">
        <v>13</v>
      </c>
      <c r="I6" s="70" t="s">
        <v>12</v>
      </c>
      <c r="J6" s="70" t="s">
        <v>13</v>
      </c>
      <c r="K6" s="70" t="s">
        <v>13</v>
      </c>
    </row>
    <row r="7" spans="1:11" s="72" customFormat="1" ht="12.75">
      <c r="A7" s="59">
        <v>1</v>
      </c>
      <c r="B7" s="60">
        <v>2</v>
      </c>
      <c r="C7" s="75">
        <v>3</v>
      </c>
      <c r="D7" s="60">
        <v>4</v>
      </c>
      <c r="E7" s="60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</row>
    <row r="8" spans="1:11" ht="12.75">
      <c r="A8" s="111" t="s">
        <v>17</v>
      </c>
      <c r="B8" s="112"/>
      <c r="C8" s="112"/>
      <c r="D8" s="112"/>
      <c r="E8" s="112"/>
      <c r="F8" s="112"/>
      <c r="G8" s="112"/>
      <c r="H8" s="112"/>
      <c r="I8" s="112"/>
      <c r="J8" s="112"/>
      <c r="K8" s="113"/>
    </row>
    <row r="9" spans="1:11" ht="12.75">
      <c r="A9" s="106" t="s">
        <v>391</v>
      </c>
      <c r="B9" s="107"/>
      <c r="C9" s="107"/>
      <c r="D9" s="107"/>
      <c r="E9" s="107"/>
      <c r="F9" s="107"/>
      <c r="G9" s="107"/>
      <c r="H9" s="107"/>
      <c r="I9" s="107"/>
      <c r="J9" s="107"/>
      <c r="K9" s="108"/>
    </row>
    <row r="10" spans="1:11" ht="25.5">
      <c r="A10" s="61">
        <v>1</v>
      </c>
      <c r="B10" s="62" t="s">
        <v>526</v>
      </c>
      <c r="C10" s="73" t="s">
        <v>527</v>
      </c>
      <c r="D10" s="63" t="s">
        <v>528</v>
      </c>
      <c r="E10" s="64" t="s">
        <v>392</v>
      </c>
      <c r="F10" s="65">
        <v>213854.6</v>
      </c>
      <c r="G10" s="65">
        <v>70.98</v>
      </c>
      <c r="H10" s="65">
        <v>442.11</v>
      </c>
      <c r="I10" s="65">
        <v>137998.56</v>
      </c>
      <c r="J10" s="65">
        <v>70.98</v>
      </c>
      <c r="K10" s="65">
        <v>322.16</v>
      </c>
    </row>
    <row r="11" spans="1:11" ht="25.5">
      <c r="A11" s="61">
        <v>2</v>
      </c>
      <c r="B11" s="62" t="s">
        <v>526</v>
      </c>
      <c r="C11" s="73" t="s">
        <v>527</v>
      </c>
      <c r="D11" s="63" t="s">
        <v>528</v>
      </c>
      <c r="E11" s="64" t="s">
        <v>393</v>
      </c>
      <c r="F11" s="65">
        <v>62249.4</v>
      </c>
      <c r="G11" s="65">
        <v>26.22</v>
      </c>
      <c r="H11" s="65">
        <v>116.22</v>
      </c>
      <c r="I11" s="65">
        <v>62249.4</v>
      </c>
      <c r="J11" s="65">
        <v>26.22</v>
      </c>
      <c r="K11" s="65">
        <v>116.22</v>
      </c>
    </row>
    <row r="12" spans="1:11" ht="25.5">
      <c r="A12" s="61">
        <v>3</v>
      </c>
      <c r="B12" s="62" t="s">
        <v>526</v>
      </c>
      <c r="C12" s="73" t="s">
        <v>527</v>
      </c>
      <c r="D12" s="63" t="s">
        <v>528</v>
      </c>
      <c r="E12" s="64" t="s">
        <v>394</v>
      </c>
      <c r="F12" s="65">
        <v>90919.4</v>
      </c>
      <c r="G12" s="65">
        <v>24.36</v>
      </c>
      <c r="H12" s="65">
        <v>246.53</v>
      </c>
      <c r="I12" s="65">
        <v>90919.4</v>
      </c>
      <c r="J12" s="65">
        <v>24.36</v>
      </c>
      <c r="K12" s="65">
        <v>246.53</v>
      </c>
    </row>
    <row r="13" spans="1:11" ht="25.5">
      <c r="A13" s="61">
        <v>4</v>
      </c>
      <c r="B13" s="62" t="s">
        <v>526</v>
      </c>
      <c r="C13" s="73" t="s">
        <v>527</v>
      </c>
      <c r="D13" s="63" t="s">
        <v>528</v>
      </c>
      <c r="E13" s="64" t="s">
        <v>395</v>
      </c>
      <c r="F13" s="65">
        <v>61352.600000000006</v>
      </c>
      <c r="G13" s="65">
        <v>5.44</v>
      </c>
      <c r="H13" s="65">
        <v>177.3</v>
      </c>
      <c r="I13" s="65">
        <v>61352.600000000006</v>
      </c>
      <c r="J13" s="65">
        <v>5.44</v>
      </c>
      <c r="K13" s="65">
        <v>177.3</v>
      </c>
    </row>
    <row r="14" spans="1:11" ht="25.5">
      <c r="A14" s="61">
        <v>5</v>
      </c>
      <c r="B14" s="62" t="s">
        <v>526</v>
      </c>
      <c r="C14" s="73" t="s">
        <v>527</v>
      </c>
      <c r="D14" s="63" t="s">
        <v>528</v>
      </c>
      <c r="E14" s="64" t="s">
        <v>396</v>
      </c>
      <c r="F14" s="65">
        <v>24418.9</v>
      </c>
      <c r="G14" s="65">
        <v>1.05</v>
      </c>
      <c r="H14" s="65">
        <v>41.2</v>
      </c>
      <c r="I14" s="65">
        <v>24418.9</v>
      </c>
      <c r="J14" s="65">
        <v>1.05</v>
      </c>
      <c r="K14" s="65">
        <v>41.2</v>
      </c>
    </row>
    <row r="15" spans="1:11" ht="25.5">
      <c r="A15" s="61">
        <v>6</v>
      </c>
      <c r="B15" s="62" t="s">
        <v>526</v>
      </c>
      <c r="C15" s="73" t="s">
        <v>527</v>
      </c>
      <c r="D15" s="63" t="s">
        <v>528</v>
      </c>
      <c r="E15" s="64" t="s">
        <v>397</v>
      </c>
      <c r="F15" s="65">
        <v>64075</v>
      </c>
      <c r="G15" s="65">
        <v>17.77</v>
      </c>
      <c r="H15" s="65">
        <v>145.92</v>
      </c>
      <c r="I15" s="65">
        <v>64075</v>
      </c>
      <c r="J15" s="65">
        <v>17.77</v>
      </c>
      <c r="K15" s="65">
        <v>145.92</v>
      </c>
    </row>
    <row r="16" spans="1:11" ht="25.5">
      <c r="A16" s="61">
        <v>7</v>
      </c>
      <c r="B16" s="62" t="s">
        <v>526</v>
      </c>
      <c r="C16" s="73" t="s">
        <v>527</v>
      </c>
      <c r="D16" s="63" t="s">
        <v>528</v>
      </c>
      <c r="E16" s="64" t="s">
        <v>398</v>
      </c>
      <c r="F16" s="65">
        <v>69289.7</v>
      </c>
      <c r="G16" s="65">
        <v>23.5</v>
      </c>
      <c r="H16" s="65">
        <v>157.69</v>
      </c>
      <c r="I16" s="65">
        <v>69289.7</v>
      </c>
      <c r="J16" s="65">
        <v>23.5</v>
      </c>
      <c r="K16" s="65">
        <v>157.69</v>
      </c>
    </row>
    <row r="17" spans="1:11" ht="25.5">
      <c r="A17" s="61">
        <v>8</v>
      </c>
      <c r="B17" s="62" t="s">
        <v>526</v>
      </c>
      <c r="C17" s="73" t="s">
        <v>527</v>
      </c>
      <c r="D17" s="63" t="s">
        <v>528</v>
      </c>
      <c r="E17" s="64" t="s">
        <v>399</v>
      </c>
      <c r="F17" s="65">
        <v>89325.2</v>
      </c>
      <c r="G17" s="65">
        <v>1.32</v>
      </c>
      <c r="H17" s="65">
        <v>217.10999999999999</v>
      </c>
      <c r="I17" s="65">
        <v>89325.2</v>
      </c>
      <c r="J17" s="65">
        <v>1.32</v>
      </c>
      <c r="K17" s="65">
        <v>217.10999999999999</v>
      </c>
    </row>
    <row r="18" spans="1:11" ht="25.5">
      <c r="A18" s="61">
        <v>9</v>
      </c>
      <c r="B18" s="62" t="s">
        <v>526</v>
      </c>
      <c r="C18" s="73" t="s">
        <v>527</v>
      </c>
      <c r="D18" s="63" t="s">
        <v>528</v>
      </c>
      <c r="E18" s="64" t="s">
        <v>400</v>
      </c>
      <c r="F18" s="65">
        <v>104288.6</v>
      </c>
      <c r="G18" s="65">
        <v>42.99</v>
      </c>
      <c r="H18" s="65">
        <v>381.97999999999996</v>
      </c>
      <c r="I18" s="65">
        <v>104288.6</v>
      </c>
      <c r="J18" s="65">
        <v>42.99</v>
      </c>
      <c r="K18" s="65">
        <v>381.97999999999996</v>
      </c>
    </row>
    <row r="19" spans="1:11" ht="25.5">
      <c r="A19" s="61">
        <v>10</v>
      </c>
      <c r="B19" s="62" t="s">
        <v>526</v>
      </c>
      <c r="C19" s="73" t="s">
        <v>527</v>
      </c>
      <c r="D19" s="63" t="s">
        <v>528</v>
      </c>
      <c r="E19" s="64" t="s">
        <v>401</v>
      </c>
      <c r="F19" s="65">
        <v>74023.4</v>
      </c>
      <c r="G19" s="65">
        <v>15.94</v>
      </c>
      <c r="H19" s="65">
        <v>123.77000000000001</v>
      </c>
      <c r="I19" s="65">
        <v>74023.4</v>
      </c>
      <c r="J19" s="65">
        <v>15.94</v>
      </c>
      <c r="K19" s="65">
        <v>123.77000000000001</v>
      </c>
    </row>
    <row r="20" spans="1:11" ht="25.5">
      <c r="A20" s="61">
        <v>11</v>
      </c>
      <c r="B20" s="62" t="s">
        <v>526</v>
      </c>
      <c r="C20" s="73" t="s">
        <v>527</v>
      </c>
      <c r="D20" s="63" t="s">
        <v>528</v>
      </c>
      <c r="E20" s="64" t="s">
        <v>402</v>
      </c>
      <c r="F20" s="65">
        <v>139552.6</v>
      </c>
      <c r="G20" s="65">
        <v>24.79</v>
      </c>
      <c r="H20" s="65">
        <v>300</v>
      </c>
      <c r="I20" s="65">
        <v>139552.6</v>
      </c>
      <c r="J20" s="65">
        <v>24.79</v>
      </c>
      <c r="K20" s="65">
        <v>300</v>
      </c>
    </row>
    <row r="21" spans="1:11" ht="25.5">
      <c r="A21" s="61">
        <v>12</v>
      </c>
      <c r="B21" s="62" t="s">
        <v>526</v>
      </c>
      <c r="C21" s="73" t="s">
        <v>527</v>
      </c>
      <c r="D21" s="63" t="s">
        <v>528</v>
      </c>
      <c r="E21" s="64" t="s">
        <v>403</v>
      </c>
      <c r="F21" s="65">
        <v>44918.3</v>
      </c>
      <c r="G21" s="65">
        <v>36.73</v>
      </c>
      <c r="H21" s="65">
        <v>175.67</v>
      </c>
      <c r="I21" s="65">
        <v>44918.3</v>
      </c>
      <c r="J21" s="65">
        <v>36.73</v>
      </c>
      <c r="K21" s="65">
        <v>175.67</v>
      </c>
    </row>
    <row r="22" spans="1:11" ht="25.5">
      <c r="A22" s="61">
        <v>13</v>
      </c>
      <c r="B22" s="62" t="s">
        <v>526</v>
      </c>
      <c r="C22" s="73" t="s">
        <v>527</v>
      </c>
      <c r="D22" s="63" t="s">
        <v>528</v>
      </c>
      <c r="E22" s="64" t="s">
        <v>404</v>
      </c>
      <c r="F22" s="65">
        <v>37586.7</v>
      </c>
      <c r="G22" s="65">
        <v>30.5</v>
      </c>
      <c r="H22" s="65">
        <v>219</v>
      </c>
      <c r="I22" s="65">
        <v>37586.7</v>
      </c>
      <c r="J22" s="65">
        <v>30.5</v>
      </c>
      <c r="K22" s="65">
        <v>219</v>
      </c>
    </row>
    <row r="23" spans="1:11" ht="25.5">
      <c r="A23" s="61">
        <v>14</v>
      </c>
      <c r="B23" s="62" t="s">
        <v>526</v>
      </c>
      <c r="C23" s="73" t="s">
        <v>527</v>
      </c>
      <c r="D23" s="63" t="s">
        <v>528</v>
      </c>
      <c r="E23" s="64" t="s">
        <v>405</v>
      </c>
      <c r="F23" s="65">
        <v>164943.6</v>
      </c>
      <c r="G23" s="65">
        <v>13.19</v>
      </c>
      <c r="H23" s="65">
        <v>399.34999999999997</v>
      </c>
      <c r="I23" s="65">
        <v>164943.6</v>
      </c>
      <c r="J23" s="65">
        <v>13.19</v>
      </c>
      <c r="K23" s="65">
        <v>399.19</v>
      </c>
    </row>
    <row r="24" spans="1:11" ht="25.5">
      <c r="A24" s="61">
        <v>15</v>
      </c>
      <c r="B24" s="62" t="s">
        <v>526</v>
      </c>
      <c r="C24" s="73" t="s">
        <v>527</v>
      </c>
      <c r="D24" s="63" t="s">
        <v>528</v>
      </c>
      <c r="E24" s="64" t="s">
        <v>406</v>
      </c>
      <c r="F24" s="65">
        <v>53179.5</v>
      </c>
      <c r="G24" s="65">
        <v>5.41</v>
      </c>
      <c r="H24" s="65">
        <v>184.4</v>
      </c>
      <c r="I24" s="65">
        <v>53179.5</v>
      </c>
      <c r="J24" s="65">
        <v>5.41</v>
      </c>
      <c r="K24" s="65">
        <v>184.4</v>
      </c>
    </row>
    <row r="25" spans="1:11" ht="25.5">
      <c r="A25" s="61">
        <v>16</v>
      </c>
      <c r="B25" s="62" t="s">
        <v>526</v>
      </c>
      <c r="C25" s="73" t="s">
        <v>527</v>
      </c>
      <c r="D25" s="63" t="s">
        <v>528</v>
      </c>
      <c r="E25" s="64" t="s">
        <v>407</v>
      </c>
      <c r="F25" s="65">
        <v>69018.8</v>
      </c>
      <c r="G25" s="65">
        <v>16.42</v>
      </c>
      <c r="H25" s="65">
        <v>220.20000000000002</v>
      </c>
      <c r="I25" s="65">
        <v>69018.8</v>
      </c>
      <c r="J25" s="65">
        <v>16.42</v>
      </c>
      <c r="K25" s="65">
        <v>220.20000000000002</v>
      </c>
    </row>
    <row r="26" spans="1:11" ht="25.5">
      <c r="A26" s="61">
        <v>17</v>
      </c>
      <c r="B26" s="62" t="s">
        <v>526</v>
      </c>
      <c r="C26" s="73" t="s">
        <v>527</v>
      </c>
      <c r="D26" s="63" t="s">
        <v>528</v>
      </c>
      <c r="E26" s="64" t="s">
        <v>408</v>
      </c>
      <c r="F26" s="65">
        <v>14301</v>
      </c>
      <c r="G26" s="65">
        <v>5.01</v>
      </c>
      <c r="H26" s="65">
        <v>24.57</v>
      </c>
      <c r="I26" s="65">
        <v>14301</v>
      </c>
      <c r="J26" s="65">
        <v>5.01</v>
      </c>
      <c r="K26" s="65">
        <v>24.57</v>
      </c>
    </row>
    <row r="27" spans="1:11" ht="25.5">
      <c r="A27" s="61">
        <v>18</v>
      </c>
      <c r="B27" s="62" t="s">
        <v>526</v>
      </c>
      <c r="C27" s="73" t="s">
        <v>527</v>
      </c>
      <c r="D27" s="63" t="s">
        <v>528</v>
      </c>
      <c r="E27" s="64" t="s">
        <v>409</v>
      </c>
      <c r="F27" s="65">
        <v>48950.1</v>
      </c>
      <c r="G27" s="65">
        <v>22.34</v>
      </c>
      <c r="H27" s="65">
        <v>92.16000000000001</v>
      </c>
      <c r="I27" s="65">
        <v>48950.1</v>
      </c>
      <c r="J27" s="65">
        <v>22.34</v>
      </c>
      <c r="K27" s="65">
        <v>92.16000000000001</v>
      </c>
    </row>
    <row r="28" spans="1:11" ht="25.5">
      <c r="A28" s="61">
        <v>19</v>
      </c>
      <c r="B28" s="62" t="s">
        <v>526</v>
      </c>
      <c r="C28" s="73" t="s">
        <v>527</v>
      </c>
      <c r="D28" s="63" t="s">
        <v>528</v>
      </c>
      <c r="E28" s="64" t="s">
        <v>410</v>
      </c>
      <c r="F28" s="65">
        <v>40917.8</v>
      </c>
      <c r="G28" s="65">
        <v>9.6</v>
      </c>
      <c r="H28" s="65">
        <v>156.9</v>
      </c>
      <c r="I28" s="65">
        <v>40917.8</v>
      </c>
      <c r="J28" s="65">
        <v>9.6</v>
      </c>
      <c r="K28" s="65">
        <v>156.9</v>
      </c>
    </row>
    <row r="29" spans="1:11" ht="25.5">
      <c r="A29" s="61">
        <v>20</v>
      </c>
      <c r="B29" s="62" t="s">
        <v>526</v>
      </c>
      <c r="C29" s="73" t="s">
        <v>527</v>
      </c>
      <c r="D29" s="63" t="s">
        <v>528</v>
      </c>
      <c r="E29" s="64" t="s">
        <v>411</v>
      </c>
      <c r="F29" s="65">
        <v>105671.3</v>
      </c>
      <c r="G29" s="65">
        <v>17.04</v>
      </c>
      <c r="H29" s="65">
        <v>144.3</v>
      </c>
      <c r="I29" s="65">
        <v>105671.3</v>
      </c>
      <c r="J29" s="65">
        <v>17.04</v>
      </c>
      <c r="K29" s="65">
        <v>144.3</v>
      </c>
    </row>
    <row r="30" spans="1:11" ht="25.5">
      <c r="A30" s="61">
        <v>21</v>
      </c>
      <c r="B30" s="62" t="s">
        <v>526</v>
      </c>
      <c r="C30" s="73" t="s">
        <v>527</v>
      </c>
      <c r="D30" s="63" t="s">
        <v>528</v>
      </c>
      <c r="E30" s="64" t="s">
        <v>412</v>
      </c>
      <c r="F30" s="65">
        <v>28426.8</v>
      </c>
      <c r="G30" s="65">
        <v>35.38</v>
      </c>
      <c r="H30" s="65">
        <v>193.1</v>
      </c>
      <c r="I30" s="65">
        <v>28426.8</v>
      </c>
      <c r="J30" s="65">
        <v>39.309999999999995</v>
      </c>
      <c r="K30" s="65">
        <v>193.1</v>
      </c>
    </row>
    <row r="31" spans="1:11" ht="25.5">
      <c r="A31" s="61">
        <v>22</v>
      </c>
      <c r="B31" s="62" t="s">
        <v>526</v>
      </c>
      <c r="C31" s="73" t="s">
        <v>527</v>
      </c>
      <c r="D31" s="63" t="s">
        <v>528</v>
      </c>
      <c r="E31" s="64" t="s">
        <v>413</v>
      </c>
      <c r="F31" s="65">
        <v>35344.4</v>
      </c>
      <c r="G31" s="65">
        <v>1.13</v>
      </c>
      <c r="H31" s="65">
        <v>76.42</v>
      </c>
      <c r="I31" s="65">
        <v>35344.4</v>
      </c>
      <c r="J31" s="65">
        <v>1.13</v>
      </c>
      <c r="K31" s="65">
        <v>76.42</v>
      </c>
    </row>
    <row r="32" spans="1:11" ht="25.5">
      <c r="A32" s="61">
        <v>23</v>
      </c>
      <c r="B32" s="62" t="s">
        <v>526</v>
      </c>
      <c r="C32" s="73" t="s">
        <v>527</v>
      </c>
      <c r="D32" s="63" t="s">
        <v>528</v>
      </c>
      <c r="E32" s="64" t="s">
        <v>414</v>
      </c>
      <c r="F32" s="65">
        <v>35963.299999999996</v>
      </c>
      <c r="G32" s="65">
        <v>22.11</v>
      </c>
      <c r="H32" s="65">
        <v>252.28</v>
      </c>
      <c r="I32" s="65">
        <v>35963.299999999996</v>
      </c>
      <c r="J32" s="65">
        <v>22.11</v>
      </c>
      <c r="K32" s="65">
        <v>252.28</v>
      </c>
    </row>
    <row r="33" spans="1:11" ht="25.5">
      <c r="A33" s="61">
        <v>24</v>
      </c>
      <c r="B33" s="62" t="s">
        <v>526</v>
      </c>
      <c r="C33" s="73" t="s">
        <v>527</v>
      </c>
      <c r="D33" s="63" t="s">
        <v>528</v>
      </c>
      <c r="E33" s="64" t="s">
        <v>129</v>
      </c>
      <c r="F33" s="65">
        <v>2329787.9</v>
      </c>
      <c r="G33" s="65">
        <v>243.34</v>
      </c>
      <c r="H33" s="65">
        <v>4779.16</v>
      </c>
      <c r="I33" s="65">
        <v>2329787.9</v>
      </c>
      <c r="J33" s="65">
        <v>243.34</v>
      </c>
      <c r="K33" s="65">
        <v>4779.16</v>
      </c>
    </row>
    <row r="34" spans="1:11" ht="25.5">
      <c r="A34" s="61">
        <v>25</v>
      </c>
      <c r="B34" s="62" t="s">
        <v>526</v>
      </c>
      <c r="C34" s="73" t="s">
        <v>527</v>
      </c>
      <c r="D34" s="63" t="s">
        <v>528</v>
      </c>
      <c r="E34" s="64" t="s">
        <v>415</v>
      </c>
      <c r="F34" s="65">
        <v>290396.7</v>
      </c>
      <c r="G34" s="65">
        <v>30.48</v>
      </c>
      <c r="H34" s="65">
        <v>612.97</v>
      </c>
      <c r="I34" s="65">
        <v>260325.49999999997</v>
      </c>
      <c r="J34" s="65">
        <v>30.48</v>
      </c>
      <c r="K34" s="65">
        <v>472.75</v>
      </c>
    </row>
    <row r="35" spans="1:11" ht="25.5">
      <c r="A35" s="61">
        <v>26</v>
      </c>
      <c r="B35" s="62" t="s">
        <v>526</v>
      </c>
      <c r="C35" s="73" t="s">
        <v>527</v>
      </c>
      <c r="D35" s="63" t="s">
        <v>528</v>
      </c>
      <c r="E35" s="64" t="s">
        <v>416</v>
      </c>
      <c r="F35" s="65">
        <v>106037</v>
      </c>
      <c r="G35" s="65">
        <v>38.64</v>
      </c>
      <c r="H35" s="65">
        <v>221.4</v>
      </c>
      <c r="I35" s="65">
        <v>106037</v>
      </c>
      <c r="J35" s="65">
        <v>38.64</v>
      </c>
      <c r="K35" s="65">
        <v>221.4</v>
      </c>
    </row>
    <row r="36" spans="1:11" ht="25.5">
      <c r="A36" s="61">
        <v>27</v>
      </c>
      <c r="B36" s="62" t="s">
        <v>526</v>
      </c>
      <c r="C36" s="73" t="s">
        <v>527</v>
      </c>
      <c r="D36" s="63" t="s">
        <v>528</v>
      </c>
      <c r="E36" s="64" t="s">
        <v>417</v>
      </c>
      <c r="F36" s="65">
        <v>455756.3</v>
      </c>
      <c r="G36" s="65">
        <v>112.72</v>
      </c>
      <c r="H36" s="65">
        <v>1117.99</v>
      </c>
      <c r="I36" s="65">
        <v>455756.3</v>
      </c>
      <c r="J36" s="65">
        <v>112.72</v>
      </c>
      <c r="K36" s="65">
        <v>1117.99</v>
      </c>
    </row>
    <row r="37" spans="1:11" ht="25.5">
      <c r="A37" s="61">
        <v>28</v>
      </c>
      <c r="B37" s="62" t="s">
        <v>526</v>
      </c>
      <c r="C37" s="73" t="s">
        <v>527</v>
      </c>
      <c r="D37" s="63" t="s">
        <v>528</v>
      </c>
      <c r="E37" s="64" t="s">
        <v>418</v>
      </c>
      <c r="F37" s="65">
        <v>110209.90000000001</v>
      </c>
      <c r="G37" s="65">
        <v>25.36</v>
      </c>
      <c r="H37" s="65">
        <v>526.64</v>
      </c>
      <c r="I37" s="65">
        <v>110209.90000000001</v>
      </c>
      <c r="J37" s="65">
        <v>25.36</v>
      </c>
      <c r="K37" s="65">
        <v>526.64</v>
      </c>
    </row>
    <row r="38" spans="1:11" ht="12.75">
      <c r="A38" s="106" t="s">
        <v>379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8"/>
    </row>
    <row r="39" spans="1:11" ht="25.5">
      <c r="A39" s="61">
        <v>1</v>
      </c>
      <c r="B39" s="62" t="s">
        <v>491</v>
      </c>
      <c r="C39" s="73" t="s">
        <v>492</v>
      </c>
      <c r="D39" s="63" t="s">
        <v>493</v>
      </c>
      <c r="E39" s="64" t="s">
        <v>33</v>
      </c>
      <c r="F39" s="65">
        <f>372.81898*1000</f>
        <v>372818.98</v>
      </c>
      <c r="G39" s="65">
        <f>0.43603*1000</f>
        <v>436.03</v>
      </c>
      <c r="H39" s="65">
        <f>1.17331*1000</f>
        <v>1173.3100000000002</v>
      </c>
      <c r="I39" s="65">
        <f>372.81898*1000</f>
        <v>372818.98</v>
      </c>
      <c r="J39" s="65">
        <f>0.43603*1000</f>
        <v>436.03</v>
      </c>
      <c r="K39" s="65">
        <f>1.17331*1000</f>
        <v>1173.3100000000002</v>
      </c>
    </row>
    <row r="40" spans="1:11" ht="45" customHeight="1">
      <c r="A40" s="61"/>
      <c r="B40" s="62"/>
      <c r="C40" s="73"/>
      <c r="D40" s="63"/>
      <c r="E40" s="64"/>
      <c r="F40" s="126"/>
      <c r="G40" s="127"/>
      <c r="H40" s="128"/>
      <c r="I40" s="149" t="s">
        <v>457</v>
      </c>
      <c r="J40" s="150"/>
      <c r="K40" s="151"/>
    </row>
    <row r="41" spans="1:11" ht="28.5" customHeight="1">
      <c r="A41" s="79">
        <f>A39+1</f>
        <v>2</v>
      </c>
      <c r="B41" s="62" t="s">
        <v>458</v>
      </c>
      <c r="C41" s="73" t="s">
        <v>505</v>
      </c>
      <c r="D41" s="63" t="s">
        <v>506</v>
      </c>
      <c r="E41" s="64" t="s">
        <v>507</v>
      </c>
      <c r="F41" s="132"/>
      <c r="G41" s="133"/>
      <c r="H41" s="134"/>
      <c r="I41" s="65">
        <v>692.68482</v>
      </c>
      <c r="J41" s="65">
        <v>117.36</v>
      </c>
      <c r="K41" s="65">
        <v>1101.2900000000002</v>
      </c>
    </row>
    <row r="42" spans="1:11" ht="25.5">
      <c r="A42" s="79">
        <f aca="true" t="shared" si="0" ref="A42:A84">A41+1</f>
        <v>3</v>
      </c>
      <c r="B42" s="66" t="s">
        <v>494</v>
      </c>
      <c r="C42" s="76" t="s">
        <v>492</v>
      </c>
      <c r="D42" s="67" t="s">
        <v>493</v>
      </c>
      <c r="E42" s="64" t="s">
        <v>34</v>
      </c>
      <c r="F42" s="65">
        <f>209.85408*1000</f>
        <v>209854.08000000002</v>
      </c>
      <c r="G42" s="65">
        <f>0.09807*1000</f>
        <v>98.07000000000001</v>
      </c>
      <c r="H42" s="65">
        <f>0.42237*1000</f>
        <v>422.37</v>
      </c>
      <c r="I42" s="65">
        <f>122.71273*1000</f>
        <v>122712.73</v>
      </c>
      <c r="J42" s="65">
        <f>0.13123*1000</f>
        <v>131.23000000000002</v>
      </c>
      <c r="K42" s="65">
        <f>0.408*1000</f>
        <v>408</v>
      </c>
    </row>
    <row r="43" spans="1:11" ht="25.5">
      <c r="A43" s="79">
        <f t="shared" si="0"/>
        <v>4</v>
      </c>
      <c r="B43" s="62" t="s">
        <v>494</v>
      </c>
      <c r="C43" s="73" t="s">
        <v>492</v>
      </c>
      <c r="D43" s="63" t="s">
        <v>493</v>
      </c>
      <c r="E43" s="64" t="s">
        <v>35</v>
      </c>
      <c r="F43" s="65">
        <f>532.58929*1000</f>
        <v>532589.29</v>
      </c>
      <c r="G43" s="65">
        <f>0.42425*1000</f>
        <v>424.25</v>
      </c>
      <c r="H43" s="65">
        <f>1.65086*1000</f>
        <v>1650.86</v>
      </c>
      <c r="I43" s="65">
        <f>569.0371*1000</f>
        <v>569037.1</v>
      </c>
      <c r="J43" s="65">
        <f>0.41663*1000</f>
        <v>416.63</v>
      </c>
      <c r="K43" s="65">
        <f>1.71812*1000</f>
        <v>1718.1200000000001</v>
      </c>
    </row>
    <row r="44" spans="1:11" ht="25.5">
      <c r="A44" s="79">
        <f t="shared" si="0"/>
        <v>5</v>
      </c>
      <c r="B44" s="62" t="s">
        <v>494</v>
      </c>
      <c r="C44" s="73" t="s">
        <v>492</v>
      </c>
      <c r="D44" s="63" t="s">
        <v>493</v>
      </c>
      <c r="E44" s="64" t="s">
        <v>36</v>
      </c>
      <c r="F44" s="65">
        <f>4.55399*1000</f>
        <v>4553.99</v>
      </c>
      <c r="G44" s="65">
        <f>0.01461*1000</f>
        <v>14.61</v>
      </c>
      <c r="H44" s="65">
        <f>0.05901*1000</f>
        <v>59.01</v>
      </c>
      <c r="I44" s="65">
        <f>78.62661*1000</f>
        <v>78626.61</v>
      </c>
      <c r="J44" s="65">
        <f>0.0179*1000</f>
        <v>17.9</v>
      </c>
      <c r="K44" s="65">
        <f>0.08632*1000</f>
        <v>86.32</v>
      </c>
    </row>
    <row r="45" spans="1:11" ht="25.5">
      <c r="A45" s="79">
        <f t="shared" si="0"/>
        <v>6</v>
      </c>
      <c r="B45" s="62" t="s">
        <v>494</v>
      </c>
      <c r="C45" s="73" t="s">
        <v>492</v>
      </c>
      <c r="D45" s="63" t="s">
        <v>493</v>
      </c>
      <c r="E45" s="64" t="s">
        <v>37</v>
      </c>
      <c r="F45" s="65">
        <f>39.69898*1000</f>
        <v>39698.979999999996</v>
      </c>
      <c r="G45" s="65">
        <f>0.02883*1000</f>
        <v>28.830000000000002</v>
      </c>
      <c r="H45" s="65">
        <f>0.09485*1000</f>
        <v>94.85000000000001</v>
      </c>
      <c r="I45" s="65">
        <f>3.16569*1000</f>
        <v>3165.69</v>
      </c>
      <c r="J45" s="65">
        <f>0.04316*1000</f>
        <v>43.16</v>
      </c>
      <c r="K45" s="65">
        <f>0.06282*1000</f>
        <v>62.82</v>
      </c>
    </row>
    <row r="46" spans="1:11" ht="25.5">
      <c r="A46" s="79">
        <f t="shared" si="0"/>
        <v>7</v>
      </c>
      <c r="B46" s="62" t="s">
        <v>494</v>
      </c>
      <c r="C46" s="73" t="s">
        <v>492</v>
      </c>
      <c r="D46" s="63" t="s">
        <v>493</v>
      </c>
      <c r="E46" s="66" t="s">
        <v>38</v>
      </c>
      <c r="F46" s="65">
        <f>17.09978*1000</f>
        <v>17099.78</v>
      </c>
      <c r="G46" s="65">
        <f>0.0839*1000</f>
        <v>83.9</v>
      </c>
      <c r="H46" s="65">
        <f>0.15354*1000</f>
        <v>153.54000000000002</v>
      </c>
      <c r="I46" s="65">
        <f>36.85029*1000</f>
        <v>36850.29</v>
      </c>
      <c r="J46" s="65">
        <f>0.12081*1000</f>
        <v>120.81</v>
      </c>
      <c r="K46" s="65">
        <f>0.16895*1000</f>
        <v>168.95</v>
      </c>
    </row>
    <row r="47" spans="1:11" ht="25.5">
      <c r="A47" s="79">
        <f t="shared" si="0"/>
        <v>8</v>
      </c>
      <c r="B47" s="62" t="s">
        <v>494</v>
      </c>
      <c r="C47" s="73" t="s">
        <v>492</v>
      </c>
      <c r="D47" s="63" t="s">
        <v>493</v>
      </c>
      <c r="E47" s="64" t="s">
        <v>39</v>
      </c>
      <c r="F47" s="65">
        <f>83.02034*1000</f>
        <v>83020.34000000001</v>
      </c>
      <c r="G47" s="65">
        <f>0.04074*1000</f>
        <v>40.739999999999995</v>
      </c>
      <c r="H47" s="65">
        <f>0.48775*1000</f>
        <v>487.75</v>
      </c>
      <c r="I47" s="65">
        <f>47.6984*1000</f>
        <v>47698.4</v>
      </c>
      <c r="J47" s="65">
        <f>0.07176*1000</f>
        <v>71.76</v>
      </c>
      <c r="K47" s="65">
        <f>0.50999*1000</f>
        <v>509.99000000000007</v>
      </c>
    </row>
    <row r="48" spans="1:11" ht="25.5">
      <c r="A48" s="79">
        <f t="shared" si="0"/>
        <v>9</v>
      </c>
      <c r="B48" s="62" t="s">
        <v>494</v>
      </c>
      <c r="C48" s="73" t="s">
        <v>492</v>
      </c>
      <c r="D48" s="63" t="s">
        <v>493</v>
      </c>
      <c r="E48" s="66" t="s">
        <v>40</v>
      </c>
      <c r="F48" s="65">
        <f>58.57057*1000</f>
        <v>58570.57</v>
      </c>
      <c r="G48" s="65">
        <f>0.06953*1000</f>
        <v>69.53</v>
      </c>
      <c r="H48" s="65">
        <f>0.59875*1000</f>
        <v>598.75</v>
      </c>
      <c r="I48" s="65">
        <f>86.61426*1000</f>
        <v>86614.26</v>
      </c>
      <c r="J48" s="65">
        <f>0.10544*1000</f>
        <v>105.44000000000001</v>
      </c>
      <c r="K48" s="65">
        <f>0.49083*1000</f>
        <v>490.83</v>
      </c>
    </row>
    <row r="49" spans="1:11" ht="25.5">
      <c r="A49" s="79">
        <f t="shared" si="0"/>
        <v>10</v>
      </c>
      <c r="B49" s="62" t="s">
        <v>494</v>
      </c>
      <c r="C49" s="73" t="s">
        <v>492</v>
      </c>
      <c r="D49" s="63" t="s">
        <v>493</v>
      </c>
      <c r="E49" s="66" t="s">
        <v>41</v>
      </c>
      <c r="F49" s="65">
        <f>39.4593*1000</f>
        <v>39459.299999999996</v>
      </c>
      <c r="G49" s="65">
        <f>0.09993*1000</f>
        <v>99.93</v>
      </c>
      <c r="H49" s="65">
        <f>0.36845*1000</f>
        <v>368.45</v>
      </c>
      <c r="I49" s="65">
        <f>41.04952*1000</f>
        <v>41049.520000000004</v>
      </c>
      <c r="J49" s="65">
        <f>0.13556*1000</f>
        <v>135.56</v>
      </c>
      <c r="K49" s="65">
        <f>0.36845*1000</f>
        <v>368.45</v>
      </c>
    </row>
    <row r="50" spans="1:11" ht="25.5">
      <c r="A50" s="79">
        <f t="shared" si="0"/>
        <v>11</v>
      </c>
      <c r="B50" s="62" t="s">
        <v>494</v>
      </c>
      <c r="C50" s="73" t="s">
        <v>492</v>
      </c>
      <c r="D50" s="63" t="s">
        <v>493</v>
      </c>
      <c r="E50" s="66" t="s">
        <v>42</v>
      </c>
      <c r="F50" s="65">
        <f>80.9258*1000</f>
        <v>80925.79999999999</v>
      </c>
      <c r="G50" s="65">
        <f>0.14761*1000</f>
        <v>147.60999999999999</v>
      </c>
      <c r="H50" s="65">
        <f>0.27031*1000</f>
        <v>270.31</v>
      </c>
      <c r="I50" s="65">
        <f>109.17848*1000</f>
        <v>109178.48</v>
      </c>
      <c r="J50" s="65">
        <f>0.08885*1000</f>
        <v>88.85</v>
      </c>
      <c r="K50" s="65">
        <f>0.32256*1000</f>
        <v>322.56</v>
      </c>
    </row>
    <row r="51" spans="1:11" ht="25.5">
      <c r="A51" s="79">
        <f t="shared" si="0"/>
        <v>12</v>
      </c>
      <c r="B51" s="62" t="s">
        <v>494</v>
      </c>
      <c r="C51" s="73" t="s">
        <v>492</v>
      </c>
      <c r="D51" s="63" t="s">
        <v>493</v>
      </c>
      <c r="E51" s="66" t="s">
        <v>43</v>
      </c>
      <c r="F51" s="65">
        <f>36.47181*1000</f>
        <v>36471.81</v>
      </c>
      <c r="G51" s="65">
        <f>0.07783*1000</f>
        <v>77.83</v>
      </c>
      <c r="H51" s="65">
        <f>0.37478*1000</f>
        <v>374.78000000000003</v>
      </c>
      <c r="I51" s="65">
        <f>32.32562*1000</f>
        <v>32325.62</v>
      </c>
      <c r="J51" s="65">
        <f>0.10312*1000</f>
        <v>103.12</v>
      </c>
      <c r="K51" s="65">
        <f>0.55539*1000</f>
        <v>555.3900000000001</v>
      </c>
    </row>
    <row r="52" spans="1:11" ht="25.5">
      <c r="A52" s="79">
        <f t="shared" si="0"/>
        <v>13</v>
      </c>
      <c r="B52" s="62" t="s">
        <v>494</v>
      </c>
      <c r="C52" s="73" t="s">
        <v>492</v>
      </c>
      <c r="D52" s="63" t="s">
        <v>493</v>
      </c>
      <c r="E52" s="66" t="s">
        <v>44</v>
      </c>
      <c r="F52" s="65">
        <f>114.46197*1000</f>
        <v>114461.96999999999</v>
      </c>
      <c r="G52" s="65">
        <f>0.08343*1000</f>
        <v>83.43</v>
      </c>
      <c r="H52" s="65">
        <f>0.54544*1000</f>
        <v>545.44</v>
      </c>
      <c r="I52" s="65">
        <f>125.15096*1000</f>
        <v>125150.95999999999</v>
      </c>
      <c r="J52" s="65">
        <f>0.1042*1000</f>
        <v>104.2</v>
      </c>
      <c r="K52" s="65">
        <f>0.45314*1000</f>
        <v>453.14</v>
      </c>
    </row>
    <row r="53" spans="1:11" ht="25.5">
      <c r="A53" s="79">
        <f t="shared" si="0"/>
        <v>14</v>
      </c>
      <c r="B53" s="62" t="s">
        <v>494</v>
      </c>
      <c r="C53" s="73" t="s">
        <v>492</v>
      </c>
      <c r="D53" s="63" t="s">
        <v>493</v>
      </c>
      <c r="E53" s="66" t="s">
        <v>45</v>
      </c>
      <c r="F53" s="65">
        <f>125.15734*1000</f>
        <v>125157.34000000001</v>
      </c>
      <c r="G53" s="65">
        <f>0.08311*1000</f>
        <v>83.11</v>
      </c>
      <c r="H53" s="65">
        <f>0.35399*1000</f>
        <v>353.99</v>
      </c>
      <c r="I53" s="65">
        <f>116.11921*1000</f>
        <v>116119.20999999999</v>
      </c>
      <c r="J53" s="65">
        <f>0.13593*1000</f>
        <v>135.93</v>
      </c>
      <c r="K53" s="65">
        <f>0.37078*1000</f>
        <v>370.78</v>
      </c>
    </row>
    <row r="54" spans="1:11" ht="25.5">
      <c r="A54" s="79">
        <f t="shared" si="0"/>
        <v>15</v>
      </c>
      <c r="B54" s="62" t="s">
        <v>494</v>
      </c>
      <c r="C54" s="73" t="s">
        <v>492</v>
      </c>
      <c r="D54" s="63" t="s">
        <v>493</v>
      </c>
      <c r="E54" s="66" t="s">
        <v>46</v>
      </c>
      <c r="F54" s="65">
        <f>7.22714*1000</f>
        <v>7227.14</v>
      </c>
      <c r="G54" s="65">
        <f>0.06035*1000</f>
        <v>60.35</v>
      </c>
      <c r="H54" s="65">
        <f>0.27322*1000</f>
        <v>273.22</v>
      </c>
      <c r="I54" s="65">
        <f>54.14602*1000</f>
        <v>54146.02</v>
      </c>
      <c r="J54" s="65">
        <f>0.12315*1000</f>
        <v>123.14999999999999</v>
      </c>
      <c r="K54" s="65">
        <f>0.27718*1000</f>
        <v>277.18</v>
      </c>
    </row>
    <row r="55" spans="1:11" ht="25.5">
      <c r="A55" s="79">
        <f t="shared" si="0"/>
        <v>16</v>
      </c>
      <c r="B55" s="62" t="s">
        <v>494</v>
      </c>
      <c r="C55" s="73" t="s">
        <v>492</v>
      </c>
      <c r="D55" s="63" t="s">
        <v>493</v>
      </c>
      <c r="E55" s="66" t="s">
        <v>47</v>
      </c>
      <c r="F55" s="65">
        <f>21.78232*1000</f>
        <v>21782.32</v>
      </c>
      <c r="G55" s="65">
        <f>0.0834*1000</f>
        <v>83.4</v>
      </c>
      <c r="H55" s="65">
        <f>0.31973*1000</f>
        <v>319.73</v>
      </c>
      <c r="I55" s="65">
        <f>23.4423*1000</f>
        <v>23442.3</v>
      </c>
      <c r="J55" s="65">
        <f>0.11116*1000</f>
        <v>111.16</v>
      </c>
      <c r="K55" s="65">
        <f>0.33494*1000</f>
        <v>334.94</v>
      </c>
    </row>
    <row r="56" spans="1:11" ht="25.5">
      <c r="A56" s="79">
        <f t="shared" si="0"/>
        <v>17</v>
      </c>
      <c r="B56" s="62" t="s">
        <v>491</v>
      </c>
      <c r="C56" s="73" t="s">
        <v>492</v>
      </c>
      <c r="D56" s="63" t="s">
        <v>493</v>
      </c>
      <c r="E56" s="66" t="s">
        <v>48</v>
      </c>
      <c r="F56" s="65">
        <f>73.10057*1000</f>
        <v>73100.57</v>
      </c>
      <c r="G56" s="65">
        <f>0.10682*1000</f>
        <v>106.82</v>
      </c>
      <c r="H56" s="65">
        <f>0.52296*1000</f>
        <v>522.96</v>
      </c>
      <c r="I56" s="65">
        <f>73.10057*1000</f>
        <v>73100.57</v>
      </c>
      <c r="J56" s="65">
        <f>0.10682*1000</f>
        <v>106.82</v>
      </c>
      <c r="K56" s="65">
        <f>0.52296*1000</f>
        <v>522.96</v>
      </c>
    </row>
    <row r="57" spans="1:11" ht="25.5">
      <c r="A57" s="79">
        <f t="shared" si="0"/>
        <v>18</v>
      </c>
      <c r="B57" s="62" t="s">
        <v>494</v>
      </c>
      <c r="C57" s="73" t="s">
        <v>492</v>
      </c>
      <c r="D57" s="63" t="s">
        <v>493</v>
      </c>
      <c r="E57" s="66" t="s">
        <v>49</v>
      </c>
      <c r="F57" s="65">
        <f>14.03199*1000</f>
        <v>14031.99</v>
      </c>
      <c r="G57" s="65">
        <f>0.07419*1000</f>
        <v>74.19000000000001</v>
      </c>
      <c r="H57" s="65">
        <f>0.38322*1000</f>
        <v>383.22</v>
      </c>
      <c r="I57" s="65">
        <f>45.83376*1000</f>
        <v>45833.759999999995</v>
      </c>
      <c r="J57" s="65">
        <f>0.13653*1000</f>
        <v>136.53</v>
      </c>
      <c r="K57" s="65">
        <f>0.38513*1000</f>
        <v>385.13</v>
      </c>
    </row>
    <row r="58" spans="1:11" ht="25.5">
      <c r="A58" s="79">
        <f t="shared" si="0"/>
        <v>19</v>
      </c>
      <c r="B58" s="62" t="s">
        <v>494</v>
      </c>
      <c r="C58" s="73" t="s">
        <v>492</v>
      </c>
      <c r="D58" s="63" t="s">
        <v>493</v>
      </c>
      <c r="E58" s="66" t="s">
        <v>50</v>
      </c>
      <c r="F58" s="65">
        <f>59.89136*1000</f>
        <v>59891.36</v>
      </c>
      <c r="G58" s="65">
        <f>0.08284*1000</f>
        <v>82.84</v>
      </c>
      <c r="H58" s="65">
        <f>0.7565*1000</f>
        <v>756.5</v>
      </c>
      <c r="I58" s="65">
        <f>47.05779*1000</f>
        <v>47057.78999999999</v>
      </c>
      <c r="J58" s="65">
        <f>0.13838*1000</f>
        <v>138.38</v>
      </c>
      <c r="K58" s="65">
        <f>0.22815*1000</f>
        <v>228.15</v>
      </c>
    </row>
    <row r="59" spans="1:11" ht="25.5">
      <c r="A59" s="79">
        <f t="shared" si="0"/>
        <v>20</v>
      </c>
      <c r="B59" s="62" t="s">
        <v>494</v>
      </c>
      <c r="C59" s="73" t="s">
        <v>492</v>
      </c>
      <c r="D59" s="63" t="s">
        <v>493</v>
      </c>
      <c r="E59" s="66" t="s">
        <v>51</v>
      </c>
      <c r="F59" s="65">
        <f>320.13732*1000</f>
        <v>320137.32</v>
      </c>
      <c r="G59" s="65">
        <f>0.03911*1000</f>
        <v>39.11</v>
      </c>
      <c r="H59" s="65">
        <f>0.12612*1000</f>
        <v>126.12</v>
      </c>
      <c r="I59" s="65">
        <f>295.85793*1000</f>
        <v>295857.93</v>
      </c>
      <c r="J59" s="65">
        <f>0.06584*1000</f>
        <v>65.83999999999999</v>
      </c>
      <c r="K59" s="65">
        <f>0.22397*1000</f>
        <v>223.97</v>
      </c>
    </row>
    <row r="60" spans="1:11" ht="25.5">
      <c r="A60" s="79">
        <f t="shared" si="0"/>
        <v>21</v>
      </c>
      <c r="B60" s="62" t="s">
        <v>494</v>
      </c>
      <c r="C60" s="73" t="s">
        <v>492</v>
      </c>
      <c r="D60" s="63" t="s">
        <v>493</v>
      </c>
      <c r="E60" s="66" t="s">
        <v>52</v>
      </c>
      <c r="F60" s="65">
        <f>76.94635*1000</f>
        <v>76946.34999999999</v>
      </c>
      <c r="G60" s="65">
        <f>0.08856*1000</f>
        <v>88.56</v>
      </c>
      <c r="H60" s="65">
        <f>0.34186*1000</f>
        <v>341.86</v>
      </c>
      <c r="I60" s="65">
        <f>48.93418*1000</f>
        <v>48934.18</v>
      </c>
      <c r="J60" s="65">
        <f>0.13106*1000</f>
        <v>131.06</v>
      </c>
      <c r="K60" s="65">
        <f>0.42801*1000</f>
        <v>428.01</v>
      </c>
    </row>
    <row r="61" spans="1:11" ht="25.5">
      <c r="A61" s="79">
        <f t="shared" si="0"/>
        <v>22</v>
      </c>
      <c r="B61" s="62" t="s">
        <v>494</v>
      </c>
      <c r="C61" s="73" t="s">
        <v>492</v>
      </c>
      <c r="D61" s="63" t="s">
        <v>493</v>
      </c>
      <c r="E61" s="66" t="s">
        <v>53</v>
      </c>
      <c r="F61" s="65">
        <f>30.58505*1000</f>
        <v>30585.05</v>
      </c>
      <c r="G61" s="65">
        <f>0.07745*1000</f>
        <v>77.45</v>
      </c>
      <c r="H61" s="65">
        <f>0.48171*1000</f>
        <v>481.71000000000004</v>
      </c>
      <c r="I61" s="65">
        <f>29.72061*1000</f>
        <v>29720.61</v>
      </c>
      <c r="J61" s="65">
        <f>0.1243*1000</f>
        <v>124.3</v>
      </c>
      <c r="K61" s="65">
        <f>0.94862*1000</f>
        <v>948.62</v>
      </c>
    </row>
    <row r="62" spans="1:11" ht="25.5">
      <c r="A62" s="79">
        <f t="shared" si="0"/>
        <v>23</v>
      </c>
      <c r="B62" s="62" t="s">
        <v>494</v>
      </c>
      <c r="C62" s="73" t="s">
        <v>492</v>
      </c>
      <c r="D62" s="63" t="s">
        <v>493</v>
      </c>
      <c r="E62" s="66" t="s">
        <v>54</v>
      </c>
      <c r="F62" s="65">
        <f>123.27358*1000</f>
        <v>123273.58</v>
      </c>
      <c r="G62" s="65">
        <f>0.07619*1000</f>
        <v>76.19</v>
      </c>
      <c r="H62" s="65">
        <f>1.04898*1000</f>
        <v>1048.98</v>
      </c>
      <c r="I62" s="65">
        <f>137.09172*1000</f>
        <v>137091.72</v>
      </c>
      <c r="J62" s="65">
        <f>0.11216*1000</f>
        <v>112.16</v>
      </c>
      <c r="K62" s="65">
        <f>0.58383*1000</f>
        <v>583.8299999999999</v>
      </c>
    </row>
    <row r="63" spans="1:11" ht="25.5">
      <c r="A63" s="79">
        <f t="shared" si="0"/>
        <v>24</v>
      </c>
      <c r="B63" s="62" t="s">
        <v>494</v>
      </c>
      <c r="C63" s="73" t="s">
        <v>492</v>
      </c>
      <c r="D63" s="63" t="s">
        <v>493</v>
      </c>
      <c r="E63" s="66" t="s">
        <v>55</v>
      </c>
      <c r="F63" s="65">
        <f>8.5737*1000</f>
        <v>8573.7</v>
      </c>
      <c r="G63" s="65">
        <f>0.08304*1000</f>
        <v>83.04</v>
      </c>
      <c r="H63" s="65">
        <f>0.70614*1000</f>
        <v>706.14</v>
      </c>
      <c r="I63" s="65">
        <f>32.66402*1000</f>
        <v>32664.02</v>
      </c>
      <c r="J63" s="65">
        <f>0.13345*1000</f>
        <v>133.45000000000002</v>
      </c>
      <c r="K63" s="65">
        <f>1.07091*1000</f>
        <v>1070.91</v>
      </c>
    </row>
    <row r="64" spans="1:11" ht="25.5">
      <c r="A64" s="79">
        <f t="shared" si="0"/>
        <v>25</v>
      </c>
      <c r="B64" s="62" t="s">
        <v>494</v>
      </c>
      <c r="C64" s="73" t="s">
        <v>492</v>
      </c>
      <c r="D64" s="63" t="s">
        <v>493</v>
      </c>
      <c r="E64" s="66" t="s">
        <v>56</v>
      </c>
      <c r="F64" s="65">
        <f>53.89449*1000</f>
        <v>53894.49</v>
      </c>
      <c r="G64" s="65">
        <f>0.07199*1000</f>
        <v>71.99</v>
      </c>
      <c r="H64" s="65">
        <f>0.38868*1000</f>
        <v>388.68</v>
      </c>
      <c r="I64" s="65">
        <f>26.07836*1000</f>
        <v>26078.36</v>
      </c>
      <c r="J64" s="65">
        <f>0.15773*1000</f>
        <v>157.73000000000002</v>
      </c>
      <c r="K64" s="65">
        <f>0.39221*1000</f>
        <v>392.21</v>
      </c>
    </row>
    <row r="65" spans="1:11" ht="25.5">
      <c r="A65" s="79">
        <f t="shared" si="0"/>
        <v>26</v>
      </c>
      <c r="B65" s="62" t="s">
        <v>494</v>
      </c>
      <c r="C65" s="73" t="s">
        <v>492</v>
      </c>
      <c r="D65" s="63" t="s">
        <v>493</v>
      </c>
      <c r="E65" s="66" t="s">
        <v>57</v>
      </c>
      <c r="F65" s="65">
        <f>52.28307*1000</f>
        <v>52283.07</v>
      </c>
      <c r="G65" s="65">
        <f>0.0592*1000</f>
        <v>59.2</v>
      </c>
      <c r="H65" s="65">
        <f>0.98219*1000</f>
        <v>982.19</v>
      </c>
      <c r="I65" s="65">
        <f>54.87623*1000</f>
        <v>54876.23</v>
      </c>
      <c r="J65" s="65">
        <f>0.08882*1000</f>
        <v>88.82</v>
      </c>
      <c r="K65" s="65">
        <f>0.57759*1000</f>
        <v>577.59</v>
      </c>
    </row>
    <row r="66" spans="1:11" ht="25.5">
      <c r="A66" s="79">
        <f t="shared" si="0"/>
        <v>27</v>
      </c>
      <c r="B66" s="62" t="s">
        <v>494</v>
      </c>
      <c r="C66" s="73" t="s">
        <v>492</v>
      </c>
      <c r="D66" s="63" t="s">
        <v>493</v>
      </c>
      <c r="E66" s="66" t="s">
        <v>58</v>
      </c>
      <c r="F66" s="65">
        <f>47.26071*1000</f>
        <v>47260.71000000001</v>
      </c>
      <c r="G66" s="65">
        <f>0.0755*1000</f>
        <v>75.5</v>
      </c>
      <c r="H66" s="65">
        <f>1.09763*1000</f>
        <v>1097.63</v>
      </c>
      <c r="I66" s="65">
        <f>49.99286*1000</f>
        <v>49992.86</v>
      </c>
      <c r="J66" s="65">
        <f>0.12026*1000</f>
        <v>120.26</v>
      </c>
      <c r="K66" s="65">
        <f>0.80436*1000</f>
        <v>804.36</v>
      </c>
    </row>
    <row r="67" spans="1:11" ht="25.5">
      <c r="A67" s="79">
        <f t="shared" si="0"/>
        <v>28</v>
      </c>
      <c r="B67" s="62" t="s">
        <v>494</v>
      </c>
      <c r="C67" s="73" t="s">
        <v>492</v>
      </c>
      <c r="D67" s="63" t="s">
        <v>493</v>
      </c>
      <c r="E67" s="66" t="s">
        <v>59</v>
      </c>
      <c r="F67" s="65">
        <f>462.37676*1000</f>
        <v>462376.76</v>
      </c>
      <c r="G67" s="65">
        <f>0.14449*1000</f>
        <v>144.49</v>
      </c>
      <c r="H67" s="65">
        <f>0.95944*1000</f>
        <v>959.4399999999999</v>
      </c>
      <c r="I67" s="65">
        <f>211.89104*1000</f>
        <v>211891.04</v>
      </c>
      <c r="J67" s="65">
        <f>0.23076*1000</f>
        <v>230.76</v>
      </c>
      <c r="K67" s="65">
        <f>1.12471*1000</f>
        <v>1124.71</v>
      </c>
    </row>
    <row r="68" spans="1:11" ht="25.5">
      <c r="A68" s="79">
        <f t="shared" si="0"/>
        <v>29</v>
      </c>
      <c r="B68" s="62" t="s">
        <v>494</v>
      </c>
      <c r="C68" s="73" t="s">
        <v>492</v>
      </c>
      <c r="D68" s="63" t="s">
        <v>493</v>
      </c>
      <c r="E68" s="66" t="s">
        <v>60</v>
      </c>
      <c r="F68" s="65">
        <f>13.77328*1000</f>
        <v>13773.279999999999</v>
      </c>
      <c r="G68" s="65">
        <f>0.07661*1000</f>
        <v>76.61</v>
      </c>
      <c r="H68" s="65">
        <f>0.17419*1000</f>
        <v>174.19</v>
      </c>
      <c r="I68" s="65">
        <f>14.56782*1000</f>
        <v>14567.82</v>
      </c>
      <c r="J68" s="65">
        <f>0.11568*1000</f>
        <v>115.68</v>
      </c>
      <c r="K68" s="65">
        <f>0.20732*1000</f>
        <v>207.32</v>
      </c>
    </row>
    <row r="69" spans="1:11" ht="25.5">
      <c r="A69" s="79">
        <f t="shared" si="0"/>
        <v>30</v>
      </c>
      <c r="B69" s="62" t="s">
        <v>494</v>
      </c>
      <c r="C69" s="73" t="s">
        <v>492</v>
      </c>
      <c r="D69" s="63" t="s">
        <v>493</v>
      </c>
      <c r="E69" s="66" t="s">
        <v>61</v>
      </c>
      <c r="F69" s="65">
        <f>755.67379*1000</f>
        <v>755673.79</v>
      </c>
      <c r="G69" s="65">
        <f>0.0777*1000</f>
        <v>77.7</v>
      </c>
      <c r="H69" s="65">
        <f>0.96338*1000</f>
        <v>963.38</v>
      </c>
      <c r="I69" s="65">
        <f>765.66309*1000</f>
        <v>765663.09</v>
      </c>
      <c r="J69" s="65">
        <f>0.22404*1000</f>
        <v>224.04</v>
      </c>
      <c r="K69" s="65">
        <f>2.59837*1000</f>
        <v>2598.37</v>
      </c>
    </row>
    <row r="70" spans="1:11" ht="25.5">
      <c r="A70" s="79">
        <f t="shared" si="0"/>
        <v>31</v>
      </c>
      <c r="B70" s="62" t="s">
        <v>494</v>
      </c>
      <c r="C70" s="73" t="s">
        <v>492</v>
      </c>
      <c r="D70" s="63" t="s">
        <v>493</v>
      </c>
      <c r="E70" s="66" t="s">
        <v>62</v>
      </c>
      <c r="F70" s="65">
        <f>108.29772*1000</f>
        <v>108297.72</v>
      </c>
      <c r="G70" s="65">
        <f>0.07831*1000</f>
        <v>78.31</v>
      </c>
      <c r="H70" s="65">
        <f>0.24602*1000</f>
        <v>246.01999999999998</v>
      </c>
      <c r="I70" s="65">
        <f>95.78375*1000</f>
        <v>95783.75</v>
      </c>
      <c r="J70" s="65">
        <f>0.13375*1000</f>
        <v>133.75</v>
      </c>
      <c r="K70" s="65">
        <f>0.50744*1000</f>
        <v>507.44</v>
      </c>
    </row>
    <row r="71" spans="1:11" ht="25.5">
      <c r="A71" s="79">
        <f t="shared" si="0"/>
        <v>32</v>
      </c>
      <c r="B71" s="62" t="s">
        <v>494</v>
      </c>
      <c r="C71" s="73" t="s">
        <v>492</v>
      </c>
      <c r="D71" s="63" t="s">
        <v>493</v>
      </c>
      <c r="E71" s="66" t="s">
        <v>63</v>
      </c>
      <c r="F71" s="65">
        <f>1038.2606*1000</f>
        <v>1038260.6000000001</v>
      </c>
      <c r="G71" s="65">
        <f>0.07736*1000</f>
        <v>77.36</v>
      </c>
      <c r="H71" s="65">
        <f>0.97497*1000</f>
        <v>974.97</v>
      </c>
      <c r="I71" s="65">
        <f>363.5836*1000</f>
        <v>363583.6</v>
      </c>
      <c r="J71" s="65">
        <f>0.12467*1000</f>
        <v>124.67</v>
      </c>
      <c r="K71" s="65">
        <f>0.9941*1000</f>
        <v>994.1</v>
      </c>
    </row>
    <row r="72" spans="1:11" ht="25.5">
      <c r="A72" s="79">
        <f t="shared" si="0"/>
        <v>33</v>
      </c>
      <c r="B72" s="62" t="s">
        <v>494</v>
      </c>
      <c r="C72" s="73" t="s">
        <v>492</v>
      </c>
      <c r="D72" s="63" t="s">
        <v>493</v>
      </c>
      <c r="E72" s="66" t="s">
        <v>64</v>
      </c>
      <c r="F72" s="65">
        <f>5.70746*1000</f>
        <v>5707.46</v>
      </c>
      <c r="G72" s="65">
        <f>0.08782*1000</f>
        <v>87.82</v>
      </c>
      <c r="H72" s="65">
        <f>0.10084*1000</f>
        <v>100.84</v>
      </c>
      <c r="I72" s="65">
        <f>13.47627*1000</f>
        <v>13476.27</v>
      </c>
      <c r="J72" s="65">
        <f>0.1143*1000</f>
        <v>114.3</v>
      </c>
      <c r="K72" s="65">
        <f>0.14329*1000</f>
        <v>143.29</v>
      </c>
    </row>
    <row r="73" spans="1:11" ht="25.5">
      <c r="A73" s="79">
        <f t="shared" si="0"/>
        <v>34</v>
      </c>
      <c r="B73" s="62" t="s">
        <v>494</v>
      </c>
      <c r="C73" s="73" t="s">
        <v>492</v>
      </c>
      <c r="D73" s="63" t="s">
        <v>493</v>
      </c>
      <c r="E73" s="66" t="s">
        <v>65</v>
      </c>
      <c r="F73" s="65">
        <f>56.38713*1000</f>
        <v>56387.13</v>
      </c>
      <c r="G73" s="65">
        <f>0.05654*1000</f>
        <v>56.54</v>
      </c>
      <c r="H73" s="65">
        <f>0.25797*1000</f>
        <v>257.96999999999997</v>
      </c>
      <c r="I73" s="65">
        <f>56.53363*1000</f>
        <v>56533.630000000005</v>
      </c>
      <c r="J73" s="65">
        <f>0.14558*1000</f>
        <v>145.57999999999998</v>
      </c>
      <c r="K73" s="65">
        <f>0.30092*1000</f>
        <v>300.92</v>
      </c>
    </row>
    <row r="74" spans="1:11" ht="25.5">
      <c r="A74" s="79">
        <f t="shared" si="0"/>
        <v>35</v>
      </c>
      <c r="B74" s="62" t="s">
        <v>494</v>
      </c>
      <c r="C74" s="73" t="s">
        <v>492</v>
      </c>
      <c r="D74" s="63" t="s">
        <v>493</v>
      </c>
      <c r="E74" s="66" t="s">
        <v>66</v>
      </c>
      <c r="F74" s="65">
        <f>23.66883*1000</f>
        <v>23668.829999999998</v>
      </c>
      <c r="G74" s="65">
        <f>0.06703*1000</f>
        <v>67.03</v>
      </c>
      <c r="H74" s="65">
        <f>0.11164*1000</f>
        <v>111.64</v>
      </c>
      <c r="I74" s="65">
        <f>8.94287*1000</f>
        <v>8942.869999999999</v>
      </c>
      <c r="J74" s="65">
        <f>0.14883*1000</f>
        <v>148.82999999999998</v>
      </c>
      <c r="K74" s="65">
        <f>0.18661*1000</f>
        <v>186.60999999999999</v>
      </c>
    </row>
    <row r="75" spans="1:11" ht="25.5">
      <c r="A75" s="79">
        <f t="shared" si="0"/>
        <v>36</v>
      </c>
      <c r="B75" s="62" t="s">
        <v>494</v>
      </c>
      <c r="C75" s="73" t="s">
        <v>492</v>
      </c>
      <c r="D75" s="63" t="s">
        <v>493</v>
      </c>
      <c r="E75" s="66" t="s">
        <v>67</v>
      </c>
      <c r="F75" s="65">
        <f>55.93683*1000</f>
        <v>55936.83</v>
      </c>
      <c r="G75" s="65">
        <f>0.07783*1000</f>
        <v>77.83</v>
      </c>
      <c r="H75" s="65">
        <f>0.74682*1000</f>
        <v>746.82</v>
      </c>
      <c r="I75" s="65">
        <f>50.26881*1000</f>
        <v>50268.810000000005</v>
      </c>
      <c r="J75" s="65">
        <f>0.12385*1000</f>
        <v>123.85000000000001</v>
      </c>
      <c r="K75" s="65">
        <f>0.74773*1000</f>
        <v>747.73</v>
      </c>
    </row>
    <row r="76" spans="1:11" ht="25.5">
      <c r="A76" s="79">
        <f t="shared" si="0"/>
        <v>37</v>
      </c>
      <c r="B76" s="62" t="s">
        <v>494</v>
      </c>
      <c r="C76" s="73" t="s">
        <v>492</v>
      </c>
      <c r="D76" s="63" t="s">
        <v>493</v>
      </c>
      <c r="E76" s="66" t="s">
        <v>68</v>
      </c>
      <c r="F76" s="65">
        <f>113.00881*1000</f>
        <v>113008.81</v>
      </c>
      <c r="G76" s="65">
        <f>0.04958*1000</f>
        <v>49.58</v>
      </c>
      <c r="H76" s="65">
        <f>0.36058*1000</f>
        <v>360.58</v>
      </c>
      <c r="I76" s="65">
        <f>77.58121*1000</f>
        <v>77581.20999999999</v>
      </c>
      <c r="J76" s="65">
        <f>0.13686*1000</f>
        <v>136.86</v>
      </c>
      <c r="K76" s="65">
        <f>0.36616*1000</f>
        <v>366.15999999999997</v>
      </c>
    </row>
    <row r="77" spans="1:11" ht="25.5">
      <c r="A77" s="79">
        <f t="shared" si="0"/>
        <v>38</v>
      </c>
      <c r="B77" s="62" t="s">
        <v>494</v>
      </c>
      <c r="C77" s="73" t="s">
        <v>492</v>
      </c>
      <c r="D77" s="63" t="s">
        <v>493</v>
      </c>
      <c r="E77" s="66" t="s">
        <v>69</v>
      </c>
      <c r="F77" s="65">
        <f>141.86354*1000</f>
        <v>141863.54</v>
      </c>
      <c r="G77" s="65">
        <f>0.17679*1000</f>
        <v>176.79</v>
      </c>
      <c r="H77" s="65">
        <f>1.62658*1000</f>
        <v>1626.58</v>
      </c>
      <c r="I77" s="65">
        <f>620.24887*1000</f>
        <v>620248.87</v>
      </c>
      <c r="J77" s="65">
        <f>0.43751*1000</f>
        <v>437.51</v>
      </c>
      <c r="K77" s="65">
        <f>1.00101*1000</f>
        <v>1001.01</v>
      </c>
    </row>
    <row r="78" spans="1:11" ht="25.5">
      <c r="A78" s="79">
        <f t="shared" si="0"/>
        <v>39</v>
      </c>
      <c r="B78" s="62" t="s">
        <v>494</v>
      </c>
      <c r="C78" s="73" t="s">
        <v>492</v>
      </c>
      <c r="D78" s="63" t="s">
        <v>493</v>
      </c>
      <c r="E78" s="66" t="s">
        <v>70</v>
      </c>
      <c r="F78" s="65">
        <f>1112.79727*1000</f>
        <v>1112797.27</v>
      </c>
      <c r="G78" s="65">
        <f>0.06905*1000</f>
        <v>69.05</v>
      </c>
      <c r="H78" s="65">
        <f>10.30786*1000</f>
        <v>10307.86</v>
      </c>
      <c r="I78" s="65">
        <f>95.8088*1000</f>
        <v>95808.8</v>
      </c>
      <c r="J78" s="65">
        <f>0.12288*1000</f>
        <v>122.88000000000001</v>
      </c>
      <c r="K78" s="65">
        <f>31.97256*1000</f>
        <v>31972.56</v>
      </c>
    </row>
    <row r="79" spans="1:11" ht="25.5">
      <c r="A79" s="79">
        <f t="shared" si="0"/>
        <v>40</v>
      </c>
      <c r="B79" s="62" t="s">
        <v>494</v>
      </c>
      <c r="C79" s="73" t="s">
        <v>492</v>
      </c>
      <c r="D79" s="63" t="s">
        <v>493</v>
      </c>
      <c r="E79" s="66" t="s">
        <v>71</v>
      </c>
      <c r="F79" s="65">
        <f>21.1361*1000</f>
        <v>21136.1</v>
      </c>
      <c r="G79" s="65">
        <f>0.17755*1000</f>
        <v>177.55</v>
      </c>
      <c r="H79" s="65">
        <f>0.33314*1000</f>
        <v>333.14</v>
      </c>
      <c r="I79" s="65">
        <f>19.35768*1000</f>
        <v>19357.679999999997</v>
      </c>
      <c r="J79" s="65">
        <f>0.00311*1000</f>
        <v>3.11</v>
      </c>
      <c r="K79" s="65">
        <f>0.20571*1000</f>
        <v>205.71</v>
      </c>
    </row>
    <row r="80" spans="1:11" ht="25.5">
      <c r="A80" s="79">
        <f t="shared" si="0"/>
        <v>41</v>
      </c>
      <c r="B80" s="62" t="s">
        <v>491</v>
      </c>
      <c r="C80" s="73" t="s">
        <v>492</v>
      </c>
      <c r="D80" s="63" t="s">
        <v>493</v>
      </c>
      <c r="E80" s="66" t="s">
        <v>73</v>
      </c>
      <c r="F80" s="65">
        <f>390.35335*1000</f>
        <v>390353.35</v>
      </c>
      <c r="G80" s="65">
        <f>0.09351*1000</f>
        <v>93.50999999999999</v>
      </c>
      <c r="H80" s="65">
        <f>2.77565*1000</f>
        <v>2775.65</v>
      </c>
      <c r="I80" s="65">
        <f>326.48555*1000</f>
        <v>326485.55</v>
      </c>
      <c r="J80" s="65">
        <f>0.11056*1000</f>
        <v>110.56</v>
      </c>
      <c r="K80" s="65">
        <f>2.7*1000</f>
        <v>2700</v>
      </c>
    </row>
    <row r="81" spans="1:11" ht="25.5">
      <c r="A81" s="79">
        <f t="shared" si="0"/>
        <v>42</v>
      </c>
      <c r="B81" s="62" t="s">
        <v>74</v>
      </c>
      <c r="C81" s="73"/>
      <c r="D81" s="63" t="s">
        <v>72</v>
      </c>
      <c r="E81" s="66" t="s">
        <v>495</v>
      </c>
      <c r="F81" s="87">
        <v>122320.33</v>
      </c>
      <c r="G81" s="87">
        <v>87.82</v>
      </c>
      <c r="H81" s="87">
        <v>1064.75</v>
      </c>
      <c r="I81" s="87">
        <v>122320.33</v>
      </c>
      <c r="J81" s="87">
        <v>87.82</v>
      </c>
      <c r="K81" s="87">
        <v>1064.75</v>
      </c>
    </row>
    <row r="82" spans="1:11" ht="38.25">
      <c r="A82" s="79">
        <f t="shared" si="0"/>
        <v>43</v>
      </c>
      <c r="B82" s="62" t="s">
        <v>75</v>
      </c>
      <c r="C82" s="73" t="s">
        <v>496</v>
      </c>
      <c r="D82" s="63" t="s">
        <v>497</v>
      </c>
      <c r="E82" s="66" t="s">
        <v>498</v>
      </c>
      <c r="F82" s="87">
        <v>533587.87</v>
      </c>
      <c r="G82" s="87">
        <v>100</v>
      </c>
      <c r="H82" s="87">
        <v>1219.64</v>
      </c>
      <c r="I82" s="87">
        <v>533587.87</v>
      </c>
      <c r="J82" s="87">
        <v>100</v>
      </c>
      <c r="K82" s="87">
        <v>1219.64</v>
      </c>
    </row>
    <row r="83" spans="1:11" ht="38.25">
      <c r="A83" s="79">
        <f t="shared" si="0"/>
        <v>44</v>
      </c>
      <c r="B83" s="62" t="s">
        <v>499</v>
      </c>
      <c r="C83" s="73" t="s">
        <v>500</v>
      </c>
      <c r="D83" s="63" t="s">
        <v>501</v>
      </c>
      <c r="E83" s="66" t="s">
        <v>502</v>
      </c>
      <c r="F83" s="87">
        <v>34443.91</v>
      </c>
      <c r="G83" s="87">
        <v>101.06</v>
      </c>
      <c r="H83" s="87">
        <v>502</v>
      </c>
      <c r="I83" s="87">
        <v>34443.91</v>
      </c>
      <c r="J83" s="87">
        <v>101.06</v>
      </c>
      <c r="K83" s="87">
        <v>502</v>
      </c>
    </row>
    <row r="84" spans="1:11" ht="38.25">
      <c r="A84" s="79">
        <f t="shared" si="0"/>
        <v>45</v>
      </c>
      <c r="B84" s="62" t="s">
        <v>503</v>
      </c>
      <c r="C84" s="73" t="s">
        <v>500</v>
      </c>
      <c r="D84" s="63" t="s">
        <v>501</v>
      </c>
      <c r="E84" s="66" t="s">
        <v>504</v>
      </c>
      <c r="F84" s="65">
        <f>49.9637*1000</f>
        <v>49963.700000000004</v>
      </c>
      <c r="G84" s="65">
        <f>0.06266*1000</f>
        <v>62.66</v>
      </c>
      <c r="H84" s="65">
        <f>0.81211*1000</f>
        <v>812.11</v>
      </c>
      <c r="I84" s="65">
        <f>49.9637*1000</f>
        <v>49963.700000000004</v>
      </c>
      <c r="J84" s="65">
        <f>0.06266*1000</f>
        <v>62.66</v>
      </c>
      <c r="K84" s="65">
        <f>0.81211*1000</f>
        <v>812.11</v>
      </c>
    </row>
    <row r="85" spans="1:11" ht="12.75">
      <c r="A85" s="106" t="s">
        <v>380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8"/>
    </row>
    <row r="86" spans="1:11" ht="51">
      <c r="A86" s="61">
        <v>1</v>
      </c>
      <c r="B86" s="62" t="s">
        <v>459</v>
      </c>
      <c r="C86" s="73" t="s">
        <v>79</v>
      </c>
      <c r="D86" s="63" t="s">
        <v>80</v>
      </c>
      <c r="E86" s="66" t="s">
        <v>81</v>
      </c>
      <c r="F86" s="65">
        <v>182323.71</v>
      </c>
      <c r="G86" s="65">
        <v>343.53</v>
      </c>
      <c r="H86" s="65">
        <v>729.62</v>
      </c>
      <c r="I86" s="65">
        <v>182323.71</v>
      </c>
      <c r="J86" s="65">
        <v>343.53</v>
      </c>
      <c r="K86" s="65">
        <v>729.62</v>
      </c>
    </row>
    <row r="87" spans="1:11" ht="51">
      <c r="A87" s="61">
        <v>2</v>
      </c>
      <c r="B87" s="62" t="s">
        <v>459</v>
      </c>
      <c r="C87" s="73" t="s">
        <v>79</v>
      </c>
      <c r="D87" s="63" t="s">
        <v>80</v>
      </c>
      <c r="E87" s="66" t="s">
        <v>82</v>
      </c>
      <c r="F87" s="65">
        <v>471634.36</v>
      </c>
      <c r="G87" s="65">
        <v>416.63</v>
      </c>
      <c r="H87" s="65">
        <v>1183.27</v>
      </c>
      <c r="I87" s="65">
        <v>471634.36</v>
      </c>
      <c r="J87" s="65">
        <v>416.63</v>
      </c>
      <c r="K87" s="65">
        <v>1183.27</v>
      </c>
    </row>
    <row r="88" spans="1:11" ht="51">
      <c r="A88" s="61">
        <v>3</v>
      </c>
      <c r="B88" s="62" t="s">
        <v>459</v>
      </c>
      <c r="C88" s="73" t="s">
        <v>79</v>
      </c>
      <c r="D88" s="63" t="s">
        <v>80</v>
      </c>
      <c r="E88" s="66" t="s">
        <v>83</v>
      </c>
      <c r="F88" s="65">
        <v>250149.67</v>
      </c>
      <c r="G88" s="65">
        <v>335.54</v>
      </c>
      <c r="H88" s="65">
        <v>864.52</v>
      </c>
      <c r="I88" s="65">
        <v>250149.67</v>
      </c>
      <c r="J88" s="65">
        <v>335.54</v>
      </c>
      <c r="K88" s="65">
        <v>864.52</v>
      </c>
    </row>
    <row r="89" spans="1:11" ht="51">
      <c r="A89" s="61">
        <v>4</v>
      </c>
      <c r="B89" s="62" t="s">
        <v>459</v>
      </c>
      <c r="C89" s="73" t="s">
        <v>79</v>
      </c>
      <c r="D89" s="63" t="s">
        <v>80</v>
      </c>
      <c r="E89" s="66" t="s">
        <v>84</v>
      </c>
      <c r="F89" s="65">
        <v>159432.6</v>
      </c>
      <c r="G89" s="65">
        <v>373.46</v>
      </c>
      <c r="H89" s="65">
        <v>722.19</v>
      </c>
      <c r="I89" s="65">
        <v>159432.6</v>
      </c>
      <c r="J89" s="65">
        <v>373.46</v>
      </c>
      <c r="K89" s="65">
        <v>722.19</v>
      </c>
    </row>
    <row r="90" spans="1:11" ht="51">
      <c r="A90" s="61">
        <v>5</v>
      </c>
      <c r="B90" s="62" t="s">
        <v>459</v>
      </c>
      <c r="C90" s="73" t="s">
        <v>79</v>
      </c>
      <c r="D90" s="63" t="s">
        <v>80</v>
      </c>
      <c r="E90" s="66" t="s">
        <v>85</v>
      </c>
      <c r="F90" s="65">
        <v>195540.84</v>
      </c>
      <c r="G90" s="65">
        <v>231.59</v>
      </c>
      <c r="H90" s="65">
        <v>665.11</v>
      </c>
      <c r="I90" s="65">
        <v>195540.84</v>
      </c>
      <c r="J90" s="65">
        <v>231.59</v>
      </c>
      <c r="K90" s="65">
        <v>665.11</v>
      </c>
    </row>
    <row r="91" spans="1:11" ht="51">
      <c r="A91" s="61">
        <v>6</v>
      </c>
      <c r="B91" s="62" t="s">
        <v>459</v>
      </c>
      <c r="C91" s="73" t="s">
        <v>79</v>
      </c>
      <c r="D91" s="63" t="s">
        <v>80</v>
      </c>
      <c r="E91" s="66" t="s">
        <v>86</v>
      </c>
      <c r="F91" s="65">
        <v>206883.23</v>
      </c>
      <c r="G91" s="65">
        <v>301.64</v>
      </c>
      <c r="H91" s="65">
        <v>681.76</v>
      </c>
      <c r="I91" s="65">
        <v>206883.23</v>
      </c>
      <c r="J91" s="65">
        <v>301.64</v>
      </c>
      <c r="K91" s="65">
        <v>681.76</v>
      </c>
    </row>
    <row r="92" spans="1:11" ht="51">
      <c r="A92" s="61">
        <v>7</v>
      </c>
      <c r="B92" s="62" t="s">
        <v>459</v>
      </c>
      <c r="C92" s="73" t="s">
        <v>79</v>
      </c>
      <c r="D92" s="63" t="s">
        <v>80</v>
      </c>
      <c r="E92" s="66" t="s">
        <v>87</v>
      </c>
      <c r="F92" s="65">
        <v>348004.1</v>
      </c>
      <c r="G92" s="65">
        <v>471.12</v>
      </c>
      <c r="H92" s="65">
        <v>1181.66</v>
      </c>
      <c r="I92" s="65">
        <v>348004.1</v>
      </c>
      <c r="J92" s="65">
        <v>471.12</v>
      </c>
      <c r="K92" s="65">
        <v>1181.66</v>
      </c>
    </row>
    <row r="93" spans="1:11" ht="51">
      <c r="A93" s="61">
        <v>8</v>
      </c>
      <c r="B93" s="62" t="s">
        <v>459</v>
      </c>
      <c r="C93" s="73" t="s">
        <v>79</v>
      </c>
      <c r="D93" s="63" t="s">
        <v>80</v>
      </c>
      <c r="E93" s="66" t="s">
        <v>88</v>
      </c>
      <c r="F93" s="65">
        <v>201126.3</v>
      </c>
      <c r="G93" s="65">
        <v>437.79</v>
      </c>
      <c r="H93" s="65">
        <v>874.03</v>
      </c>
      <c r="I93" s="65">
        <v>201126.3</v>
      </c>
      <c r="J93" s="65">
        <v>437.79</v>
      </c>
      <c r="K93" s="65">
        <v>874.03</v>
      </c>
    </row>
    <row r="94" spans="1:11" ht="51">
      <c r="A94" s="61">
        <v>9</v>
      </c>
      <c r="B94" s="62" t="s">
        <v>459</v>
      </c>
      <c r="C94" s="73" t="s">
        <v>79</v>
      </c>
      <c r="D94" s="63" t="s">
        <v>80</v>
      </c>
      <c r="E94" s="66" t="s">
        <v>89</v>
      </c>
      <c r="F94" s="65">
        <v>82463.16</v>
      </c>
      <c r="G94" s="65">
        <v>57.59</v>
      </c>
      <c r="H94" s="65">
        <v>241.1</v>
      </c>
      <c r="I94" s="65">
        <v>82463.16</v>
      </c>
      <c r="J94" s="65">
        <v>57.59</v>
      </c>
      <c r="K94" s="65">
        <v>241.1</v>
      </c>
    </row>
    <row r="95" spans="1:11" ht="51">
      <c r="A95" s="61">
        <v>10</v>
      </c>
      <c r="B95" s="62" t="s">
        <v>459</v>
      </c>
      <c r="C95" s="73" t="s">
        <v>79</v>
      </c>
      <c r="D95" s="63" t="s">
        <v>80</v>
      </c>
      <c r="E95" s="66" t="s">
        <v>90</v>
      </c>
      <c r="F95" s="65">
        <v>226923.15</v>
      </c>
      <c r="G95" s="65">
        <v>329.44</v>
      </c>
      <c r="H95" s="65">
        <v>767.25</v>
      </c>
      <c r="I95" s="65">
        <v>226923.15</v>
      </c>
      <c r="J95" s="65">
        <v>329.44</v>
      </c>
      <c r="K95" s="65">
        <v>767.25</v>
      </c>
    </row>
    <row r="96" spans="1:11" ht="51">
      <c r="A96" s="61">
        <v>11</v>
      </c>
      <c r="B96" s="62" t="s">
        <v>459</v>
      </c>
      <c r="C96" s="73" t="s">
        <v>79</v>
      </c>
      <c r="D96" s="63" t="s">
        <v>80</v>
      </c>
      <c r="E96" s="66" t="s">
        <v>91</v>
      </c>
      <c r="F96" s="65">
        <v>209383.46</v>
      </c>
      <c r="G96" s="65">
        <v>421.81</v>
      </c>
      <c r="H96" s="65">
        <v>1050.88</v>
      </c>
      <c r="I96" s="65">
        <v>209383.47</v>
      </c>
      <c r="J96" s="65">
        <v>421.81</v>
      </c>
      <c r="K96" s="65">
        <v>1050.88</v>
      </c>
    </row>
    <row r="97" spans="1:11" ht="51">
      <c r="A97" s="61">
        <v>12</v>
      </c>
      <c r="B97" s="62" t="s">
        <v>459</v>
      </c>
      <c r="C97" s="73" t="s">
        <v>79</v>
      </c>
      <c r="D97" s="63" t="s">
        <v>80</v>
      </c>
      <c r="E97" s="66" t="s">
        <v>92</v>
      </c>
      <c r="F97" s="65">
        <v>294765.09</v>
      </c>
      <c r="G97" s="65">
        <v>251.69</v>
      </c>
      <c r="H97" s="65">
        <v>745.36</v>
      </c>
      <c r="I97" s="65">
        <v>294765.09</v>
      </c>
      <c r="J97" s="65">
        <v>251.69</v>
      </c>
      <c r="K97" s="65">
        <v>745.36</v>
      </c>
    </row>
    <row r="98" spans="1:11" ht="51">
      <c r="A98" s="61">
        <v>13</v>
      </c>
      <c r="B98" s="62" t="s">
        <v>459</v>
      </c>
      <c r="C98" s="73" t="s">
        <v>79</v>
      </c>
      <c r="D98" s="63" t="s">
        <v>80</v>
      </c>
      <c r="E98" s="66" t="s">
        <v>93</v>
      </c>
      <c r="F98" s="65">
        <v>171909.09</v>
      </c>
      <c r="G98" s="65">
        <v>89.3</v>
      </c>
      <c r="H98" s="65">
        <v>329.18</v>
      </c>
      <c r="I98" s="65">
        <v>171909.09</v>
      </c>
      <c r="J98" s="65">
        <v>89.3</v>
      </c>
      <c r="K98" s="65">
        <v>329.18</v>
      </c>
    </row>
    <row r="99" spans="1:11" ht="51">
      <c r="A99" s="61">
        <v>14</v>
      </c>
      <c r="B99" s="62" t="s">
        <v>459</v>
      </c>
      <c r="C99" s="73" t="s">
        <v>79</v>
      </c>
      <c r="D99" s="63" t="s">
        <v>80</v>
      </c>
      <c r="E99" s="66" t="s">
        <v>94</v>
      </c>
      <c r="F99" s="65">
        <v>97346.12</v>
      </c>
      <c r="G99" s="65">
        <v>22.03</v>
      </c>
      <c r="H99" s="65">
        <v>233.83</v>
      </c>
      <c r="I99" s="65">
        <v>97346.12</v>
      </c>
      <c r="J99" s="65">
        <v>22.03</v>
      </c>
      <c r="K99" s="65">
        <v>233.83</v>
      </c>
    </row>
    <row r="100" spans="1:11" ht="51">
      <c r="A100" s="61">
        <v>15</v>
      </c>
      <c r="B100" s="62" t="s">
        <v>459</v>
      </c>
      <c r="C100" s="73" t="s">
        <v>79</v>
      </c>
      <c r="D100" s="63" t="s">
        <v>80</v>
      </c>
      <c r="E100" s="66" t="s">
        <v>95</v>
      </c>
      <c r="F100" s="65">
        <v>22670.88</v>
      </c>
      <c r="G100" s="65">
        <v>19.3</v>
      </c>
      <c r="H100" s="65">
        <v>51.16</v>
      </c>
      <c r="I100" s="65">
        <v>22670.88</v>
      </c>
      <c r="J100" s="65">
        <v>19.3</v>
      </c>
      <c r="K100" s="65">
        <v>51.16</v>
      </c>
    </row>
    <row r="101" spans="1:11" ht="51">
      <c r="A101" s="61">
        <v>16</v>
      </c>
      <c r="B101" s="62" t="s">
        <v>459</v>
      </c>
      <c r="C101" s="73" t="s">
        <v>79</v>
      </c>
      <c r="D101" s="63" t="s">
        <v>80</v>
      </c>
      <c r="E101" s="66" t="s">
        <v>96</v>
      </c>
      <c r="F101" s="65">
        <v>44825.06</v>
      </c>
      <c r="G101" s="65">
        <v>56.18</v>
      </c>
      <c r="H101" s="65">
        <v>121.3</v>
      </c>
      <c r="I101" s="65">
        <v>44825.04</v>
      </c>
      <c r="J101" s="65">
        <v>56.18</v>
      </c>
      <c r="K101" s="65">
        <v>121.3</v>
      </c>
    </row>
    <row r="102" spans="1:11" ht="25.5">
      <c r="A102" s="61">
        <v>17</v>
      </c>
      <c r="B102" s="62" t="s">
        <v>460</v>
      </c>
      <c r="C102" s="73" t="s">
        <v>79</v>
      </c>
      <c r="D102" s="63" t="s">
        <v>80</v>
      </c>
      <c r="E102" s="66" t="s">
        <v>97</v>
      </c>
      <c r="F102" s="65">
        <v>35160.34</v>
      </c>
      <c r="G102" s="65">
        <v>84.95</v>
      </c>
      <c r="H102" s="65">
        <v>258.23</v>
      </c>
      <c r="I102" s="65">
        <v>35160.34</v>
      </c>
      <c r="J102" s="65">
        <v>84.95</v>
      </c>
      <c r="K102" s="65">
        <v>258.23</v>
      </c>
    </row>
    <row r="103" spans="1:11" ht="51">
      <c r="A103" s="61">
        <v>18</v>
      </c>
      <c r="B103" s="62" t="s">
        <v>459</v>
      </c>
      <c r="C103" s="73" t="s">
        <v>79</v>
      </c>
      <c r="D103" s="63" t="s">
        <v>80</v>
      </c>
      <c r="E103" s="66" t="s">
        <v>98</v>
      </c>
      <c r="F103" s="65">
        <v>33094.44</v>
      </c>
      <c r="G103" s="65">
        <v>11.99</v>
      </c>
      <c r="H103" s="65">
        <v>137.56</v>
      </c>
      <c r="I103" s="65">
        <v>33094.44</v>
      </c>
      <c r="J103" s="65">
        <v>11.99</v>
      </c>
      <c r="K103" s="65">
        <v>137.56</v>
      </c>
    </row>
    <row r="104" spans="1:11" ht="51">
      <c r="A104" s="61">
        <v>19</v>
      </c>
      <c r="B104" s="62" t="s">
        <v>459</v>
      </c>
      <c r="C104" s="73" t="s">
        <v>79</v>
      </c>
      <c r="D104" s="63" t="s">
        <v>80</v>
      </c>
      <c r="E104" s="66" t="s">
        <v>99</v>
      </c>
      <c r="F104" s="65">
        <v>37716.16</v>
      </c>
      <c r="G104" s="65">
        <v>29.37</v>
      </c>
      <c r="H104" s="65">
        <v>272.48</v>
      </c>
      <c r="I104" s="65">
        <v>37716.16</v>
      </c>
      <c r="J104" s="65">
        <v>29.37</v>
      </c>
      <c r="K104" s="65">
        <v>272.48</v>
      </c>
    </row>
    <row r="105" spans="1:11" ht="51">
      <c r="A105" s="61">
        <v>20</v>
      </c>
      <c r="B105" s="62" t="s">
        <v>459</v>
      </c>
      <c r="C105" s="73" t="s">
        <v>79</v>
      </c>
      <c r="D105" s="63" t="s">
        <v>80</v>
      </c>
      <c r="E105" s="66" t="s">
        <v>100</v>
      </c>
      <c r="F105" s="65">
        <v>39375.69</v>
      </c>
      <c r="G105" s="65">
        <v>36.14</v>
      </c>
      <c r="H105" s="65">
        <v>120.52</v>
      </c>
      <c r="I105" s="65">
        <v>39375.68</v>
      </c>
      <c r="J105" s="65">
        <v>36.14</v>
      </c>
      <c r="K105" s="65">
        <v>120.52</v>
      </c>
    </row>
    <row r="106" spans="1:11" ht="51">
      <c r="A106" s="61">
        <v>21</v>
      </c>
      <c r="B106" s="62" t="s">
        <v>459</v>
      </c>
      <c r="C106" s="73" t="s">
        <v>79</v>
      </c>
      <c r="D106" s="63" t="s">
        <v>80</v>
      </c>
      <c r="E106" s="66" t="s">
        <v>101</v>
      </c>
      <c r="F106" s="65">
        <v>43929.29</v>
      </c>
      <c r="G106" s="65">
        <v>6.02</v>
      </c>
      <c r="H106" s="65">
        <v>83.52</v>
      </c>
      <c r="I106" s="65">
        <v>43929.29</v>
      </c>
      <c r="J106" s="65">
        <v>6.02</v>
      </c>
      <c r="K106" s="65">
        <v>83.52</v>
      </c>
    </row>
    <row r="107" spans="1:11" ht="51">
      <c r="A107" s="61">
        <v>22</v>
      </c>
      <c r="B107" s="62" t="s">
        <v>459</v>
      </c>
      <c r="C107" s="73" t="s">
        <v>79</v>
      </c>
      <c r="D107" s="63" t="s">
        <v>80</v>
      </c>
      <c r="E107" s="66" t="s">
        <v>102</v>
      </c>
      <c r="F107" s="65">
        <v>29142.66</v>
      </c>
      <c r="G107" s="65">
        <v>43.59</v>
      </c>
      <c r="H107" s="65">
        <v>99.7</v>
      </c>
      <c r="I107" s="65">
        <v>29142.66</v>
      </c>
      <c r="J107" s="65">
        <v>43.59</v>
      </c>
      <c r="K107" s="65">
        <v>99.7</v>
      </c>
    </row>
    <row r="108" spans="1:11" ht="25.5">
      <c r="A108" s="61">
        <v>23</v>
      </c>
      <c r="B108" s="62" t="s">
        <v>461</v>
      </c>
      <c r="C108" s="73" t="s">
        <v>79</v>
      </c>
      <c r="D108" s="63" t="s">
        <v>80</v>
      </c>
      <c r="E108" s="66" t="s">
        <v>103</v>
      </c>
      <c r="F108" s="65">
        <v>93261.25</v>
      </c>
      <c r="G108" s="65">
        <v>109.17</v>
      </c>
      <c r="H108" s="65">
        <v>448.7</v>
      </c>
      <c r="I108" s="65">
        <v>93261.25</v>
      </c>
      <c r="J108" s="65">
        <v>109.17</v>
      </c>
      <c r="K108" s="65">
        <v>448.7</v>
      </c>
    </row>
    <row r="109" spans="1:11" ht="51">
      <c r="A109" s="61">
        <v>24</v>
      </c>
      <c r="B109" s="62" t="s">
        <v>459</v>
      </c>
      <c r="C109" s="73" t="s">
        <v>79</v>
      </c>
      <c r="D109" s="63" t="s">
        <v>80</v>
      </c>
      <c r="E109" s="66" t="s">
        <v>104</v>
      </c>
      <c r="F109" s="65">
        <v>167218.52</v>
      </c>
      <c r="G109" s="65">
        <v>161.78</v>
      </c>
      <c r="H109" s="65">
        <v>541.01</v>
      </c>
      <c r="I109" s="65">
        <v>167218.43</v>
      </c>
      <c r="J109" s="65">
        <v>161.78</v>
      </c>
      <c r="K109" s="65">
        <v>541.01</v>
      </c>
    </row>
    <row r="110" spans="1:11" ht="51">
      <c r="A110" s="61">
        <v>25</v>
      </c>
      <c r="B110" s="62" t="s">
        <v>459</v>
      </c>
      <c r="C110" s="73" t="s">
        <v>79</v>
      </c>
      <c r="D110" s="63" t="s">
        <v>80</v>
      </c>
      <c r="E110" s="66" t="s">
        <v>105</v>
      </c>
      <c r="F110" s="65">
        <v>65789.58</v>
      </c>
      <c r="G110" s="65">
        <v>34.66</v>
      </c>
      <c r="H110" s="65">
        <v>206.95</v>
      </c>
      <c r="I110" s="65">
        <v>65789.54</v>
      </c>
      <c r="J110" s="65">
        <v>34.66</v>
      </c>
      <c r="K110" s="65">
        <v>206.95</v>
      </c>
    </row>
    <row r="111" spans="1:11" ht="51">
      <c r="A111" s="61">
        <v>26</v>
      </c>
      <c r="B111" s="62" t="s">
        <v>459</v>
      </c>
      <c r="C111" s="73" t="s">
        <v>79</v>
      </c>
      <c r="D111" s="63" t="s">
        <v>80</v>
      </c>
      <c r="E111" s="66" t="s">
        <v>106</v>
      </c>
      <c r="F111" s="65">
        <v>54975</v>
      </c>
      <c r="G111" s="65">
        <v>169.02</v>
      </c>
      <c r="H111" s="65">
        <v>382.01</v>
      </c>
      <c r="I111" s="65">
        <v>54975</v>
      </c>
      <c r="J111" s="65">
        <v>169.02</v>
      </c>
      <c r="K111" s="65">
        <v>382.01</v>
      </c>
    </row>
    <row r="112" spans="1:11" ht="51">
      <c r="A112" s="61">
        <v>27</v>
      </c>
      <c r="B112" s="62" t="s">
        <v>459</v>
      </c>
      <c r="C112" s="73" t="s">
        <v>79</v>
      </c>
      <c r="D112" s="63" t="s">
        <v>80</v>
      </c>
      <c r="E112" s="66" t="s">
        <v>107</v>
      </c>
      <c r="F112" s="65">
        <v>95388.89</v>
      </c>
      <c r="G112" s="65">
        <v>165.89</v>
      </c>
      <c r="H112" s="65">
        <v>349.63</v>
      </c>
      <c r="I112" s="65">
        <v>95388.89</v>
      </c>
      <c r="J112" s="65">
        <v>165.89</v>
      </c>
      <c r="K112" s="65">
        <v>349.63</v>
      </c>
    </row>
    <row r="113" spans="1:11" ht="51">
      <c r="A113" s="61">
        <v>28</v>
      </c>
      <c r="B113" s="62" t="s">
        <v>459</v>
      </c>
      <c r="C113" s="73" t="s">
        <v>79</v>
      </c>
      <c r="D113" s="63" t="s">
        <v>80</v>
      </c>
      <c r="E113" s="66" t="s">
        <v>108</v>
      </c>
      <c r="F113" s="65">
        <v>60397.92</v>
      </c>
      <c r="G113" s="65">
        <v>54.67</v>
      </c>
      <c r="H113" s="65">
        <v>209.3</v>
      </c>
      <c r="I113" s="65">
        <v>60397.92</v>
      </c>
      <c r="J113" s="65">
        <v>54.67</v>
      </c>
      <c r="K113" s="65">
        <v>209.3</v>
      </c>
    </row>
    <row r="114" spans="1:11" ht="25.5">
      <c r="A114" s="61">
        <v>29</v>
      </c>
      <c r="B114" s="62" t="s">
        <v>462</v>
      </c>
      <c r="C114" s="73" t="s">
        <v>79</v>
      </c>
      <c r="D114" s="63" t="s">
        <v>80</v>
      </c>
      <c r="E114" s="66" t="s">
        <v>109</v>
      </c>
      <c r="F114" s="65">
        <v>93261.25</v>
      </c>
      <c r="G114" s="65">
        <v>247.57</v>
      </c>
      <c r="H114" s="65">
        <v>608.79</v>
      </c>
      <c r="I114" s="65">
        <v>134617.78</v>
      </c>
      <c r="J114" s="65">
        <v>247.57</v>
      </c>
      <c r="K114" s="65">
        <v>608.79</v>
      </c>
    </row>
    <row r="115" spans="1:11" ht="51">
      <c r="A115" s="61">
        <v>30</v>
      </c>
      <c r="B115" s="62" t="s">
        <v>459</v>
      </c>
      <c r="C115" s="73" t="s">
        <v>79</v>
      </c>
      <c r="D115" s="63" t="s">
        <v>80</v>
      </c>
      <c r="E115" s="66" t="s">
        <v>110</v>
      </c>
      <c r="F115" s="65">
        <v>81075</v>
      </c>
      <c r="G115" s="65">
        <v>55.53</v>
      </c>
      <c r="H115" s="65">
        <v>149.09</v>
      </c>
      <c r="I115" s="65">
        <v>81075</v>
      </c>
      <c r="J115" s="65">
        <v>55.53</v>
      </c>
      <c r="K115" s="65">
        <v>149.09</v>
      </c>
    </row>
    <row r="116" spans="1:11" ht="51">
      <c r="A116" s="61">
        <v>31</v>
      </c>
      <c r="B116" s="62" t="s">
        <v>459</v>
      </c>
      <c r="C116" s="73" t="s">
        <v>79</v>
      </c>
      <c r="D116" s="63" t="s">
        <v>80</v>
      </c>
      <c r="E116" s="66" t="s">
        <v>111</v>
      </c>
      <c r="F116" s="65">
        <v>89761.11</v>
      </c>
      <c r="G116" s="65">
        <v>72.45</v>
      </c>
      <c r="H116" s="65">
        <v>427.82</v>
      </c>
      <c r="I116" s="65">
        <v>89760.83</v>
      </c>
      <c r="J116" s="65">
        <v>72.45</v>
      </c>
      <c r="K116" s="65">
        <v>427.83</v>
      </c>
    </row>
    <row r="117" spans="1:11" ht="51">
      <c r="A117" s="61">
        <v>32</v>
      </c>
      <c r="B117" s="62" t="s">
        <v>459</v>
      </c>
      <c r="C117" s="73" t="s">
        <v>79</v>
      </c>
      <c r="D117" s="63" t="s">
        <v>80</v>
      </c>
      <c r="E117" s="66" t="s">
        <v>112</v>
      </c>
      <c r="F117" s="65">
        <v>80196.27</v>
      </c>
      <c r="G117" s="65">
        <v>59.95</v>
      </c>
      <c r="H117" s="65">
        <v>257.07</v>
      </c>
      <c r="I117" s="65">
        <v>80196.26</v>
      </c>
      <c r="J117" s="65">
        <v>59.95</v>
      </c>
      <c r="K117" s="65">
        <v>257.07</v>
      </c>
    </row>
    <row r="118" spans="1:11" ht="51">
      <c r="A118" s="61">
        <v>33</v>
      </c>
      <c r="B118" s="62" t="s">
        <v>459</v>
      </c>
      <c r="C118" s="73" t="s">
        <v>79</v>
      </c>
      <c r="D118" s="63" t="s">
        <v>80</v>
      </c>
      <c r="E118" s="66" t="s">
        <v>113</v>
      </c>
      <c r="F118" s="65">
        <v>44803.5</v>
      </c>
      <c r="G118" s="65">
        <v>44.53</v>
      </c>
      <c r="H118" s="65">
        <v>95.1</v>
      </c>
      <c r="I118" s="65">
        <v>44803.45</v>
      </c>
      <c r="J118" s="65">
        <v>44.53</v>
      </c>
      <c r="K118" s="65">
        <v>94.61</v>
      </c>
    </row>
    <row r="119" spans="1:11" ht="51">
      <c r="A119" s="61">
        <v>34</v>
      </c>
      <c r="B119" s="62" t="s">
        <v>459</v>
      </c>
      <c r="C119" s="73" t="s">
        <v>79</v>
      </c>
      <c r="D119" s="63" t="s">
        <v>80</v>
      </c>
      <c r="E119" s="66" t="s">
        <v>114</v>
      </c>
      <c r="F119" s="65">
        <v>137898.25</v>
      </c>
      <c r="G119" s="65">
        <v>35.35</v>
      </c>
      <c r="H119" s="65">
        <v>167.02</v>
      </c>
      <c r="I119" s="65">
        <v>137898.25</v>
      </c>
      <c r="J119" s="65">
        <v>35.35</v>
      </c>
      <c r="K119" s="65">
        <v>167.02</v>
      </c>
    </row>
    <row r="120" spans="1:11" ht="51">
      <c r="A120" s="61">
        <v>35</v>
      </c>
      <c r="B120" s="62" t="s">
        <v>459</v>
      </c>
      <c r="C120" s="73" t="s">
        <v>79</v>
      </c>
      <c r="D120" s="63" t="s">
        <v>80</v>
      </c>
      <c r="E120" s="66" t="s">
        <v>115</v>
      </c>
      <c r="F120" s="65">
        <v>65271.33</v>
      </c>
      <c r="G120" s="65">
        <v>72.4</v>
      </c>
      <c r="H120" s="65">
        <v>242.09</v>
      </c>
      <c r="I120" s="65">
        <v>65271.33</v>
      </c>
      <c r="J120" s="65">
        <v>72.4</v>
      </c>
      <c r="K120" s="65">
        <v>242.09</v>
      </c>
    </row>
    <row r="121" spans="1:11" ht="51">
      <c r="A121" s="61">
        <v>36</v>
      </c>
      <c r="B121" s="62" t="s">
        <v>459</v>
      </c>
      <c r="C121" s="73" t="s">
        <v>79</v>
      </c>
      <c r="D121" s="63" t="s">
        <v>80</v>
      </c>
      <c r="E121" s="66" t="s">
        <v>116</v>
      </c>
      <c r="F121" s="65">
        <v>57102.14</v>
      </c>
      <c r="G121" s="65">
        <v>89.63</v>
      </c>
      <c r="H121" s="65">
        <v>234.68</v>
      </c>
      <c r="I121" s="65">
        <v>57102.04</v>
      </c>
      <c r="J121" s="65">
        <v>89.63</v>
      </c>
      <c r="K121" s="65">
        <v>234.68</v>
      </c>
    </row>
    <row r="122" spans="1:11" ht="51">
      <c r="A122" s="61">
        <v>37</v>
      </c>
      <c r="B122" s="62" t="s">
        <v>459</v>
      </c>
      <c r="C122" s="73" t="s">
        <v>79</v>
      </c>
      <c r="D122" s="63" t="s">
        <v>80</v>
      </c>
      <c r="E122" s="66" t="s">
        <v>117</v>
      </c>
      <c r="F122" s="65">
        <v>84766.83</v>
      </c>
      <c r="G122" s="65">
        <v>49.65</v>
      </c>
      <c r="H122" s="65">
        <v>305.47</v>
      </c>
      <c r="I122" s="65">
        <v>84766.7</v>
      </c>
      <c r="J122" s="65">
        <v>49.65</v>
      </c>
      <c r="K122" s="65">
        <v>305.47</v>
      </c>
    </row>
    <row r="123" spans="1:11" ht="51">
      <c r="A123" s="61">
        <v>38</v>
      </c>
      <c r="B123" s="62" t="s">
        <v>459</v>
      </c>
      <c r="C123" s="73" t="s">
        <v>79</v>
      </c>
      <c r="D123" s="63" t="s">
        <v>80</v>
      </c>
      <c r="E123" s="66" t="s">
        <v>118</v>
      </c>
      <c r="F123" s="65">
        <v>38438.15</v>
      </c>
      <c r="G123" s="65">
        <v>141.63</v>
      </c>
      <c r="H123" s="65">
        <v>925.24</v>
      </c>
      <c r="I123" s="65">
        <v>38438.15</v>
      </c>
      <c r="J123" s="65">
        <v>141.63</v>
      </c>
      <c r="K123" s="65">
        <v>925.24</v>
      </c>
    </row>
    <row r="124" spans="1:11" ht="51">
      <c r="A124" s="61">
        <v>39</v>
      </c>
      <c r="B124" s="62" t="s">
        <v>459</v>
      </c>
      <c r="C124" s="73" t="s">
        <v>79</v>
      </c>
      <c r="D124" s="63" t="s">
        <v>80</v>
      </c>
      <c r="E124" s="66" t="s">
        <v>119</v>
      </c>
      <c r="F124" s="65">
        <v>119875.26</v>
      </c>
      <c r="G124" s="65">
        <v>93.63</v>
      </c>
      <c r="H124" s="65">
        <v>1133.36</v>
      </c>
      <c r="I124" s="65">
        <v>119875.26</v>
      </c>
      <c r="J124" s="65">
        <v>93.63</v>
      </c>
      <c r="K124" s="65">
        <v>1133.36</v>
      </c>
    </row>
    <row r="125" spans="1:11" ht="51">
      <c r="A125" s="61">
        <v>40</v>
      </c>
      <c r="B125" s="62" t="s">
        <v>459</v>
      </c>
      <c r="C125" s="73" t="s">
        <v>79</v>
      </c>
      <c r="D125" s="63" t="s">
        <v>80</v>
      </c>
      <c r="E125" s="66" t="s">
        <v>120</v>
      </c>
      <c r="F125" s="65">
        <v>227666.67</v>
      </c>
      <c r="G125" s="65">
        <v>42.98</v>
      </c>
      <c r="H125" s="65">
        <v>1034.84</v>
      </c>
      <c r="I125" s="65">
        <v>227666.67</v>
      </c>
      <c r="J125" s="65">
        <v>42.98</v>
      </c>
      <c r="K125" s="65">
        <v>1034.84</v>
      </c>
    </row>
    <row r="126" spans="1:11" ht="51">
      <c r="A126" s="61">
        <v>41</v>
      </c>
      <c r="B126" s="62" t="s">
        <v>459</v>
      </c>
      <c r="C126" s="73" t="s">
        <v>79</v>
      </c>
      <c r="D126" s="63" t="s">
        <v>80</v>
      </c>
      <c r="E126" s="66" t="s">
        <v>121</v>
      </c>
      <c r="F126" s="65">
        <v>356928.57</v>
      </c>
      <c r="G126" s="65">
        <v>77.52</v>
      </c>
      <c r="H126" s="65">
        <v>1389.8</v>
      </c>
      <c r="I126" s="65">
        <v>356928.57</v>
      </c>
      <c r="J126" s="65">
        <v>77.52</v>
      </c>
      <c r="K126" s="65">
        <v>1389.8</v>
      </c>
    </row>
    <row r="127" spans="1:11" ht="51">
      <c r="A127" s="61">
        <v>42</v>
      </c>
      <c r="B127" s="62" t="s">
        <v>459</v>
      </c>
      <c r="C127" s="73" t="s">
        <v>79</v>
      </c>
      <c r="D127" s="63" t="s">
        <v>80</v>
      </c>
      <c r="E127" s="66" t="s">
        <v>122</v>
      </c>
      <c r="F127" s="65">
        <v>82645.36</v>
      </c>
      <c r="G127" s="65">
        <v>94.6</v>
      </c>
      <c r="H127" s="65">
        <v>805.09</v>
      </c>
      <c r="I127" s="65">
        <v>82645.36</v>
      </c>
      <c r="J127" s="65">
        <v>94.6</v>
      </c>
      <c r="K127" s="65">
        <v>805.09</v>
      </c>
    </row>
    <row r="128" spans="1:11" ht="51">
      <c r="A128" s="61">
        <v>43</v>
      </c>
      <c r="B128" s="62" t="s">
        <v>459</v>
      </c>
      <c r="C128" s="73" t="s">
        <v>79</v>
      </c>
      <c r="D128" s="63" t="s">
        <v>80</v>
      </c>
      <c r="E128" s="66" t="s">
        <v>123</v>
      </c>
      <c r="F128" s="65">
        <v>132260.68</v>
      </c>
      <c r="G128" s="65">
        <v>93.46</v>
      </c>
      <c r="H128" s="65">
        <v>778.45</v>
      </c>
      <c r="I128" s="65">
        <v>132260.05</v>
      </c>
      <c r="J128" s="65">
        <v>93.46</v>
      </c>
      <c r="K128" s="65">
        <v>778.45</v>
      </c>
    </row>
    <row r="129" spans="1:11" ht="51">
      <c r="A129" s="61">
        <v>44</v>
      </c>
      <c r="B129" s="62" t="s">
        <v>459</v>
      </c>
      <c r="C129" s="73" t="s">
        <v>79</v>
      </c>
      <c r="D129" s="63" t="s">
        <v>80</v>
      </c>
      <c r="E129" s="66" t="s">
        <v>124</v>
      </c>
      <c r="F129" s="65">
        <v>39387.3</v>
      </c>
      <c r="G129" s="65">
        <v>126.2</v>
      </c>
      <c r="H129" s="65">
        <v>240.13</v>
      </c>
      <c r="I129" s="65">
        <v>39387.3</v>
      </c>
      <c r="J129" s="65">
        <v>126.2</v>
      </c>
      <c r="K129" s="65">
        <v>240.13</v>
      </c>
    </row>
    <row r="130" spans="1:11" ht="51">
      <c r="A130" s="61">
        <v>45</v>
      </c>
      <c r="B130" s="62" t="s">
        <v>459</v>
      </c>
      <c r="C130" s="73" t="s">
        <v>79</v>
      </c>
      <c r="D130" s="63" t="s">
        <v>80</v>
      </c>
      <c r="E130" s="66" t="s">
        <v>125</v>
      </c>
      <c r="F130" s="65">
        <v>347015.73</v>
      </c>
      <c r="G130" s="65">
        <v>221.63</v>
      </c>
      <c r="H130" s="65">
        <v>963.13</v>
      </c>
      <c r="I130" s="65">
        <v>347015.73</v>
      </c>
      <c r="J130" s="65">
        <v>221.63</v>
      </c>
      <c r="K130" s="65">
        <v>963.13</v>
      </c>
    </row>
    <row r="131" spans="1:11" ht="51">
      <c r="A131" s="61">
        <v>46</v>
      </c>
      <c r="B131" s="62" t="s">
        <v>459</v>
      </c>
      <c r="C131" s="73" t="s">
        <v>79</v>
      </c>
      <c r="D131" s="63" t="s">
        <v>80</v>
      </c>
      <c r="E131" s="66" t="s">
        <v>126</v>
      </c>
      <c r="F131" s="65">
        <v>135916.67</v>
      </c>
      <c r="G131" s="65">
        <v>193.31</v>
      </c>
      <c r="H131" s="65">
        <v>1557.88</v>
      </c>
      <c r="I131" s="65">
        <v>135916.67</v>
      </c>
      <c r="J131" s="65">
        <v>193.31</v>
      </c>
      <c r="K131" s="65">
        <v>1557.88</v>
      </c>
    </row>
    <row r="132" spans="1:11" ht="51">
      <c r="A132" s="61">
        <v>47</v>
      </c>
      <c r="B132" s="62" t="s">
        <v>459</v>
      </c>
      <c r="C132" s="73" t="s">
        <v>79</v>
      </c>
      <c r="D132" s="63" t="s">
        <v>80</v>
      </c>
      <c r="E132" s="66" t="s">
        <v>127</v>
      </c>
      <c r="F132" s="65">
        <v>212581.66</v>
      </c>
      <c r="G132" s="65">
        <v>67.07</v>
      </c>
      <c r="H132" s="65">
        <v>514.73</v>
      </c>
      <c r="I132" s="65">
        <v>212581.66</v>
      </c>
      <c r="J132" s="65">
        <v>67.07</v>
      </c>
      <c r="K132" s="65">
        <v>514.73</v>
      </c>
    </row>
    <row r="133" spans="1:11" ht="51">
      <c r="A133" s="61">
        <v>48</v>
      </c>
      <c r="B133" s="62" t="s">
        <v>459</v>
      </c>
      <c r="C133" s="73" t="s">
        <v>79</v>
      </c>
      <c r="D133" s="63" t="s">
        <v>80</v>
      </c>
      <c r="E133" s="66" t="s">
        <v>128</v>
      </c>
      <c r="F133" s="65">
        <v>75751.41</v>
      </c>
      <c r="G133" s="65">
        <v>312.72</v>
      </c>
      <c r="H133" s="65">
        <v>1346.09</v>
      </c>
      <c r="I133" s="65">
        <v>75751.41</v>
      </c>
      <c r="J133" s="65">
        <v>312.72</v>
      </c>
      <c r="K133" s="65">
        <v>1346.09</v>
      </c>
    </row>
    <row r="134" spans="1:11" ht="51">
      <c r="A134" s="61">
        <v>49</v>
      </c>
      <c r="B134" s="62" t="s">
        <v>459</v>
      </c>
      <c r="C134" s="73" t="s">
        <v>79</v>
      </c>
      <c r="D134" s="63" t="s">
        <v>80</v>
      </c>
      <c r="E134" s="66" t="s">
        <v>129</v>
      </c>
      <c r="F134" s="65">
        <v>192640.61</v>
      </c>
      <c r="G134" s="65">
        <v>43.55</v>
      </c>
      <c r="H134" s="65">
        <v>437.16</v>
      </c>
      <c r="I134" s="65">
        <v>192640.61</v>
      </c>
      <c r="J134" s="65">
        <v>43.55</v>
      </c>
      <c r="K134" s="65">
        <v>437.16</v>
      </c>
    </row>
    <row r="135" spans="1:11" ht="51">
      <c r="A135" s="61">
        <v>50</v>
      </c>
      <c r="B135" s="62" t="s">
        <v>459</v>
      </c>
      <c r="C135" s="73" t="s">
        <v>79</v>
      </c>
      <c r="D135" s="63" t="s">
        <v>80</v>
      </c>
      <c r="E135" s="66" t="s">
        <v>130</v>
      </c>
      <c r="F135" s="65">
        <v>74147.65</v>
      </c>
      <c r="G135" s="65">
        <v>72.8</v>
      </c>
      <c r="H135" s="65">
        <v>201.91</v>
      </c>
      <c r="I135" s="65">
        <v>74147.65</v>
      </c>
      <c r="J135" s="65">
        <v>72.8</v>
      </c>
      <c r="K135" s="65">
        <v>201.91</v>
      </c>
    </row>
    <row r="136" spans="1:11" ht="51">
      <c r="A136" s="61">
        <v>51</v>
      </c>
      <c r="B136" s="62" t="s">
        <v>459</v>
      </c>
      <c r="C136" s="73" t="s">
        <v>79</v>
      </c>
      <c r="D136" s="63" t="s">
        <v>80</v>
      </c>
      <c r="E136" s="66" t="s">
        <v>131</v>
      </c>
      <c r="F136" s="65">
        <v>169543.93</v>
      </c>
      <c r="G136" s="65">
        <v>145.78</v>
      </c>
      <c r="H136" s="65">
        <v>656.58</v>
      </c>
      <c r="I136" s="65">
        <v>169543.93</v>
      </c>
      <c r="J136" s="65">
        <v>145.78</v>
      </c>
      <c r="K136" s="65">
        <v>656.58</v>
      </c>
    </row>
    <row r="137" spans="1:11" ht="51">
      <c r="A137" s="61">
        <v>52</v>
      </c>
      <c r="B137" s="62" t="s">
        <v>459</v>
      </c>
      <c r="C137" s="73" t="s">
        <v>79</v>
      </c>
      <c r="D137" s="63" t="s">
        <v>80</v>
      </c>
      <c r="E137" s="66" t="s">
        <v>132</v>
      </c>
      <c r="F137" s="65">
        <v>11057.41</v>
      </c>
      <c r="G137" s="65">
        <v>38.54</v>
      </c>
      <c r="H137" s="65">
        <v>351.65</v>
      </c>
      <c r="I137" s="65">
        <v>11057.41</v>
      </c>
      <c r="J137" s="65">
        <v>38.54</v>
      </c>
      <c r="K137" s="65">
        <v>351.65</v>
      </c>
    </row>
    <row r="138" spans="1:11" ht="51">
      <c r="A138" s="61">
        <v>53</v>
      </c>
      <c r="B138" s="62" t="s">
        <v>459</v>
      </c>
      <c r="C138" s="73" t="s">
        <v>79</v>
      </c>
      <c r="D138" s="63" t="s">
        <v>80</v>
      </c>
      <c r="E138" s="66" t="s">
        <v>133</v>
      </c>
      <c r="F138" s="65">
        <v>88462.89</v>
      </c>
      <c r="G138" s="65">
        <v>240.81</v>
      </c>
      <c r="H138" s="65">
        <v>634.54</v>
      </c>
      <c r="I138" s="65">
        <v>88462.89</v>
      </c>
      <c r="J138" s="65">
        <v>240.81</v>
      </c>
      <c r="K138" s="65">
        <v>634.54</v>
      </c>
    </row>
    <row r="139" spans="1:11" ht="51">
      <c r="A139" s="61">
        <v>54</v>
      </c>
      <c r="B139" s="62" t="s">
        <v>459</v>
      </c>
      <c r="C139" s="73" t="s">
        <v>79</v>
      </c>
      <c r="D139" s="63" t="s">
        <v>80</v>
      </c>
      <c r="E139" s="66" t="s">
        <v>134</v>
      </c>
      <c r="F139" s="65">
        <v>61478.85</v>
      </c>
      <c r="G139" s="65">
        <v>66.9</v>
      </c>
      <c r="H139" s="65">
        <v>198.85</v>
      </c>
      <c r="I139" s="65">
        <v>61478.85</v>
      </c>
      <c r="J139" s="65">
        <v>66.9</v>
      </c>
      <c r="K139" s="65">
        <v>198.85</v>
      </c>
    </row>
    <row r="140" spans="1:11" ht="51">
      <c r="A140" s="61">
        <v>55</v>
      </c>
      <c r="B140" s="62" t="s">
        <v>459</v>
      </c>
      <c r="C140" s="73" t="s">
        <v>79</v>
      </c>
      <c r="D140" s="63" t="s">
        <v>80</v>
      </c>
      <c r="E140" s="66" t="s">
        <v>135</v>
      </c>
      <c r="F140" s="65">
        <v>51142.31</v>
      </c>
      <c r="G140" s="65">
        <v>40.31</v>
      </c>
      <c r="H140" s="65">
        <v>121.38</v>
      </c>
      <c r="I140" s="65">
        <v>51142.31</v>
      </c>
      <c r="J140" s="65">
        <v>40.31</v>
      </c>
      <c r="K140" s="65">
        <v>121.38</v>
      </c>
    </row>
    <row r="141" spans="1:11" ht="51">
      <c r="A141" s="61">
        <v>56</v>
      </c>
      <c r="B141" s="62" t="s">
        <v>459</v>
      </c>
      <c r="C141" s="73" t="s">
        <v>79</v>
      </c>
      <c r="D141" s="63" t="s">
        <v>80</v>
      </c>
      <c r="E141" s="66" t="s">
        <v>136</v>
      </c>
      <c r="F141" s="65">
        <v>45914.81</v>
      </c>
      <c r="G141" s="65">
        <v>71.7</v>
      </c>
      <c r="H141" s="65">
        <v>435.25</v>
      </c>
      <c r="I141" s="65">
        <v>45914.81</v>
      </c>
      <c r="J141" s="65">
        <v>71.7</v>
      </c>
      <c r="K141" s="65">
        <v>435.25</v>
      </c>
    </row>
    <row r="142" spans="1:11" ht="51">
      <c r="A142" s="61">
        <v>57</v>
      </c>
      <c r="B142" s="62" t="s">
        <v>459</v>
      </c>
      <c r="C142" s="73" t="s">
        <v>79</v>
      </c>
      <c r="D142" s="63" t="s">
        <v>80</v>
      </c>
      <c r="E142" s="66" t="s">
        <v>137</v>
      </c>
      <c r="F142" s="65">
        <v>24345.8</v>
      </c>
      <c r="G142" s="65">
        <v>52.51</v>
      </c>
      <c r="H142" s="65">
        <v>168.73</v>
      </c>
      <c r="I142" s="65">
        <v>24345.8</v>
      </c>
      <c r="J142" s="65">
        <v>52.51</v>
      </c>
      <c r="K142" s="65">
        <v>168.73</v>
      </c>
    </row>
    <row r="143" spans="1:11" ht="51">
      <c r="A143" s="61">
        <v>58</v>
      </c>
      <c r="B143" s="62" t="s">
        <v>459</v>
      </c>
      <c r="C143" s="73" t="s">
        <v>79</v>
      </c>
      <c r="D143" s="63" t="s">
        <v>80</v>
      </c>
      <c r="E143" s="66" t="s">
        <v>138</v>
      </c>
      <c r="F143" s="65">
        <v>90916.67</v>
      </c>
      <c r="G143" s="65">
        <v>69.7</v>
      </c>
      <c r="H143" s="65">
        <v>376.94</v>
      </c>
      <c r="I143" s="65">
        <v>90916.67</v>
      </c>
      <c r="J143" s="65">
        <v>69.7</v>
      </c>
      <c r="K143" s="65">
        <v>376.94</v>
      </c>
    </row>
    <row r="144" spans="1:11" ht="51">
      <c r="A144" s="61">
        <v>59</v>
      </c>
      <c r="B144" s="62" t="s">
        <v>459</v>
      </c>
      <c r="C144" s="73" t="s">
        <v>79</v>
      </c>
      <c r="D144" s="63" t="s">
        <v>80</v>
      </c>
      <c r="E144" s="66" t="s">
        <v>139</v>
      </c>
      <c r="F144" s="65">
        <v>27674.29</v>
      </c>
      <c r="G144" s="65">
        <v>103.87</v>
      </c>
      <c r="H144" s="65">
        <v>518.42</v>
      </c>
      <c r="I144" s="65">
        <v>27674.29</v>
      </c>
      <c r="J144" s="65">
        <v>103.87</v>
      </c>
      <c r="K144" s="65">
        <v>518.42</v>
      </c>
    </row>
    <row r="145" spans="1:11" ht="51">
      <c r="A145" s="61">
        <v>60</v>
      </c>
      <c r="B145" s="62" t="s">
        <v>459</v>
      </c>
      <c r="C145" s="73" t="s">
        <v>79</v>
      </c>
      <c r="D145" s="63" t="s">
        <v>80</v>
      </c>
      <c r="E145" s="66" t="s">
        <v>140</v>
      </c>
      <c r="F145" s="65">
        <v>171825.4</v>
      </c>
      <c r="G145" s="65">
        <v>77.21</v>
      </c>
      <c r="H145" s="65">
        <v>298.58</v>
      </c>
      <c r="I145" s="65">
        <v>171825.4</v>
      </c>
      <c r="J145" s="65">
        <v>77.21</v>
      </c>
      <c r="K145" s="65">
        <v>298.58</v>
      </c>
    </row>
    <row r="146" spans="1:11" ht="51">
      <c r="A146" s="61">
        <v>61</v>
      </c>
      <c r="B146" s="62" t="s">
        <v>459</v>
      </c>
      <c r="C146" s="73" t="s">
        <v>79</v>
      </c>
      <c r="D146" s="63" t="s">
        <v>80</v>
      </c>
      <c r="E146" s="66" t="s">
        <v>141</v>
      </c>
      <c r="F146" s="65">
        <v>112613.5</v>
      </c>
      <c r="G146" s="65">
        <v>148.87</v>
      </c>
      <c r="H146" s="65">
        <v>633.98</v>
      </c>
      <c r="I146" s="65">
        <v>112613.5</v>
      </c>
      <c r="J146" s="65">
        <v>148.87</v>
      </c>
      <c r="K146" s="65">
        <v>633.98</v>
      </c>
    </row>
    <row r="147" spans="1:11" ht="51">
      <c r="A147" s="61">
        <v>62</v>
      </c>
      <c r="B147" s="62" t="s">
        <v>459</v>
      </c>
      <c r="C147" s="73" t="s">
        <v>79</v>
      </c>
      <c r="D147" s="63" t="s">
        <v>80</v>
      </c>
      <c r="E147" s="66" t="s">
        <v>142</v>
      </c>
      <c r="F147" s="65">
        <v>28260.85</v>
      </c>
      <c r="G147" s="65">
        <v>125.38</v>
      </c>
      <c r="H147" s="65">
        <v>573.59</v>
      </c>
      <c r="I147" s="65">
        <v>28260.85</v>
      </c>
      <c r="J147" s="65">
        <v>125.38</v>
      </c>
      <c r="K147" s="65">
        <v>573.59</v>
      </c>
    </row>
    <row r="148" spans="1:11" ht="51">
      <c r="A148" s="61">
        <v>63</v>
      </c>
      <c r="B148" s="62" t="s">
        <v>459</v>
      </c>
      <c r="C148" s="73" t="s">
        <v>79</v>
      </c>
      <c r="D148" s="63" t="s">
        <v>80</v>
      </c>
      <c r="E148" s="66" t="s">
        <v>143</v>
      </c>
      <c r="F148" s="65">
        <v>47813.1</v>
      </c>
      <c r="G148" s="65">
        <v>146.77</v>
      </c>
      <c r="H148" s="65">
        <v>371.45</v>
      </c>
      <c r="I148" s="65">
        <v>47813.1</v>
      </c>
      <c r="J148" s="65">
        <v>146.77</v>
      </c>
      <c r="K148" s="65">
        <v>371.45</v>
      </c>
    </row>
    <row r="149" spans="1:11" ht="51">
      <c r="A149" s="61">
        <v>64</v>
      </c>
      <c r="B149" s="62" t="s">
        <v>459</v>
      </c>
      <c r="C149" s="73" t="s">
        <v>79</v>
      </c>
      <c r="D149" s="63" t="s">
        <v>80</v>
      </c>
      <c r="E149" s="66" t="s">
        <v>144</v>
      </c>
      <c r="F149" s="65">
        <v>69936.26</v>
      </c>
      <c r="G149" s="65">
        <v>104.27</v>
      </c>
      <c r="H149" s="65">
        <v>267.1</v>
      </c>
      <c r="I149" s="65">
        <v>69936.26</v>
      </c>
      <c r="J149" s="65">
        <v>104.27</v>
      </c>
      <c r="K149" s="65">
        <v>267.1</v>
      </c>
    </row>
    <row r="150" spans="1:11" ht="51">
      <c r="A150" s="61">
        <v>65</v>
      </c>
      <c r="B150" s="62" t="s">
        <v>459</v>
      </c>
      <c r="C150" s="73" t="s">
        <v>79</v>
      </c>
      <c r="D150" s="63" t="s">
        <v>80</v>
      </c>
      <c r="E150" s="66" t="s">
        <v>145</v>
      </c>
      <c r="F150" s="65">
        <v>27615.91</v>
      </c>
      <c r="G150" s="65">
        <v>57.59</v>
      </c>
      <c r="H150" s="65">
        <v>126.53</v>
      </c>
      <c r="I150" s="65">
        <v>27615.91</v>
      </c>
      <c r="J150" s="65">
        <v>57.59</v>
      </c>
      <c r="K150" s="65">
        <v>126.53</v>
      </c>
    </row>
    <row r="151" spans="1:11" ht="51">
      <c r="A151" s="61">
        <v>66</v>
      </c>
      <c r="B151" s="62" t="s">
        <v>459</v>
      </c>
      <c r="C151" s="73" t="s">
        <v>79</v>
      </c>
      <c r="D151" s="63" t="s">
        <v>80</v>
      </c>
      <c r="E151" s="66" t="s">
        <v>146</v>
      </c>
      <c r="F151" s="65">
        <v>156621.21</v>
      </c>
      <c r="G151" s="65">
        <v>58.98</v>
      </c>
      <c r="H151" s="65">
        <v>436.97</v>
      </c>
      <c r="I151" s="65">
        <v>156621.21</v>
      </c>
      <c r="J151" s="65">
        <v>58.98</v>
      </c>
      <c r="K151" s="65">
        <v>436.97</v>
      </c>
    </row>
    <row r="152" spans="1:11" ht="51">
      <c r="A152" s="61">
        <v>67</v>
      </c>
      <c r="B152" s="62" t="s">
        <v>459</v>
      </c>
      <c r="C152" s="73" t="s">
        <v>79</v>
      </c>
      <c r="D152" s="63" t="s">
        <v>80</v>
      </c>
      <c r="E152" s="66" t="s">
        <v>147</v>
      </c>
      <c r="F152" s="65">
        <v>145856.34</v>
      </c>
      <c r="G152" s="65">
        <v>90.13</v>
      </c>
      <c r="H152" s="65">
        <v>488.06</v>
      </c>
      <c r="I152" s="65">
        <v>145856.34</v>
      </c>
      <c r="J152" s="65">
        <v>90.13</v>
      </c>
      <c r="K152" s="65">
        <v>488.06</v>
      </c>
    </row>
    <row r="153" spans="1:11" ht="51">
      <c r="A153" s="61">
        <v>68</v>
      </c>
      <c r="B153" s="62" t="s">
        <v>459</v>
      </c>
      <c r="C153" s="73" t="s">
        <v>79</v>
      </c>
      <c r="D153" s="63" t="s">
        <v>80</v>
      </c>
      <c r="E153" s="66" t="s">
        <v>148</v>
      </c>
      <c r="F153" s="65">
        <v>44072.22</v>
      </c>
      <c r="G153" s="65">
        <v>83.26</v>
      </c>
      <c r="H153" s="65">
        <v>498.17</v>
      </c>
      <c r="I153" s="65">
        <v>44072.22</v>
      </c>
      <c r="J153" s="65">
        <v>83.26</v>
      </c>
      <c r="K153" s="65">
        <v>498.17</v>
      </c>
    </row>
    <row r="154" spans="1:11" ht="51">
      <c r="A154" s="61">
        <v>69</v>
      </c>
      <c r="B154" s="62" t="s">
        <v>459</v>
      </c>
      <c r="C154" s="73" t="s">
        <v>79</v>
      </c>
      <c r="D154" s="63" t="s">
        <v>80</v>
      </c>
      <c r="E154" s="66" t="s">
        <v>149</v>
      </c>
      <c r="F154" s="65">
        <v>90195.83</v>
      </c>
      <c r="G154" s="65">
        <v>110.63</v>
      </c>
      <c r="H154" s="65">
        <v>295.58</v>
      </c>
      <c r="I154" s="65">
        <v>90195.83</v>
      </c>
      <c r="J154" s="65">
        <v>110.63</v>
      </c>
      <c r="K154" s="65">
        <v>295.58</v>
      </c>
    </row>
    <row r="155" spans="1:11" ht="51">
      <c r="A155" s="61">
        <v>70</v>
      </c>
      <c r="B155" s="62" t="s">
        <v>459</v>
      </c>
      <c r="C155" s="73" t="s">
        <v>79</v>
      </c>
      <c r="D155" s="63" t="s">
        <v>80</v>
      </c>
      <c r="E155" s="66" t="s">
        <v>150</v>
      </c>
      <c r="F155" s="65">
        <v>243125</v>
      </c>
      <c r="G155" s="65">
        <v>154.39</v>
      </c>
      <c r="H155" s="65">
        <v>684.85</v>
      </c>
      <c r="I155" s="65">
        <v>243125</v>
      </c>
      <c r="J155" s="65">
        <v>154.39</v>
      </c>
      <c r="K155" s="65">
        <v>684.85</v>
      </c>
    </row>
    <row r="156" spans="1:11" ht="51">
      <c r="A156" s="61">
        <v>71</v>
      </c>
      <c r="B156" s="62" t="s">
        <v>459</v>
      </c>
      <c r="C156" s="73" t="s">
        <v>79</v>
      </c>
      <c r="D156" s="63" t="s">
        <v>80</v>
      </c>
      <c r="E156" s="66" t="s">
        <v>151</v>
      </c>
      <c r="F156" s="65">
        <v>318250</v>
      </c>
      <c r="G156" s="65">
        <v>100.15</v>
      </c>
      <c r="H156" s="65">
        <v>1266.26</v>
      </c>
      <c r="I156" s="65">
        <v>318250</v>
      </c>
      <c r="J156" s="65">
        <v>100.15</v>
      </c>
      <c r="K156" s="65">
        <v>1266.25</v>
      </c>
    </row>
    <row r="157" spans="1:11" ht="51">
      <c r="A157" s="61">
        <v>72</v>
      </c>
      <c r="B157" s="62" t="s">
        <v>459</v>
      </c>
      <c r="C157" s="73" t="s">
        <v>79</v>
      </c>
      <c r="D157" s="63" t="s">
        <v>80</v>
      </c>
      <c r="E157" s="66" t="s">
        <v>152</v>
      </c>
      <c r="F157" s="65">
        <v>110686.67</v>
      </c>
      <c r="G157" s="65">
        <v>103.92</v>
      </c>
      <c r="H157" s="65">
        <v>1518.14</v>
      </c>
      <c r="I157" s="65">
        <v>110686.67</v>
      </c>
      <c r="J157" s="65">
        <v>103.92</v>
      </c>
      <c r="K157" s="65">
        <v>1518.14</v>
      </c>
    </row>
    <row r="158" spans="1:11" ht="51">
      <c r="A158" s="61">
        <v>73</v>
      </c>
      <c r="B158" s="62" t="s">
        <v>459</v>
      </c>
      <c r="C158" s="73" t="s">
        <v>79</v>
      </c>
      <c r="D158" s="63" t="s">
        <v>80</v>
      </c>
      <c r="E158" s="66" t="s">
        <v>153</v>
      </c>
      <c r="F158" s="65">
        <v>29221.67</v>
      </c>
      <c r="G158" s="65">
        <v>90.34</v>
      </c>
      <c r="H158" s="65">
        <v>441</v>
      </c>
      <c r="I158" s="65">
        <v>29221.67</v>
      </c>
      <c r="J158" s="65">
        <v>90.34</v>
      </c>
      <c r="K158" s="65">
        <v>441</v>
      </c>
    </row>
    <row r="159" spans="1:11" ht="51">
      <c r="A159" s="61">
        <v>74</v>
      </c>
      <c r="B159" s="62" t="s">
        <v>459</v>
      </c>
      <c r="C159" s="73" t="s">
        <v>79</v>
      </c>
      <c r="D159" s="63" t="s">
        <v>80</v>
      </c>
      <c r="E159" s="66" t="s">
        <v>154</v>
      </c>
      <c r="F159" s="65">
        <v>366936.67</v>
      </c>
      <c r="G159" s="65">
        <v>283.38</v>
      </c>
      <c r="H159" s="65">
        <v>765.4</v>
      </c>
      <c r="I159" s="65">
        <v>366936.67</v>
      </c>
      <c r="J159" s="65">
        <v>283.38</v>
      </c>
      <c r="K159" s="65">
        <v>765.4</v>
      </c>
    </row>
    <row r="160" spans="1:11" ht="51">
      <c r="A160" s="61">
        <v>75</v>
      </c>
      <c r="B160" s="62" t="s">
        <v>459</v>
      </c>
      <c r="C160" s="73" t="s">
        <v>79</v>
      </c>
      <c r="D160" s="63" t="s">
        <v>80</v>
      </c>
      <c r="E160" s="66" t="s">
        <v>155</v>
      </c>
      <c r="F160" s="65">
        <v>63966.71</v>
      </c>
      <c r="G160" s="65">
        <v>42.53</v>
      </c>
      <c r="H160" s="65">
        <v>171.62</v>
      </c>
      <c r="I160" s="65">
        <v>63966.71</v>
      </c>
      <c r="J160" s="65">
        <v>42.53</v>
      </c>
      <c r="K160" s="65">
        <v>171.62</v>
      </c>
    </row>
    <row r="161" spans="1:11" ht="51">
      <c r="A161" s="61">
        <v>76</v>
      </c>
      <c r="B161" s="62" t="s">
        <v>459</v>
      </c>
      <c r="C161" s="73" t="s">
        <v>79</v>
      </c>
      <c r="D161" s="63" t="s">
        <v>80</v>
      </c>
      <c r="E161" s="66" t="s">
        <v>156</v>
      </c>
      <c r="F161" s="65">
        <v>80110.61</v>
      </c>
      <c r="G161" s="65">
        <v>49.87</v>
      </c>
      <c r="H161" s="65">
        <v>382.18</v>
      </c>
      <c r="I161" s="65">
        <v>80110.61</v>
      </c>
      <c r="J161" s="65">
        <v>49.87</v>
      </c>
      <c r="K161" s="65">
        <v>382.18</v>
      </c>
    </row>
    <row r="162" spans="1:11" ht="25.5">
      <c r="A162" s="61">
        <v>77</v>
      </c>
      <c r="B162" s="62" t="s">
        <v>463</v>
      </c>
      <c r="C162" s="73" t="s">
        <v>464</v>
      </c>
      <c r="D162" s="63" t="s">
        <v>465</v>
      </c>
      <c r="E162" s="66" t="s">
        <v>466</v>
      </c>
      <c r="F162" s="65">
        <v>222498.81</v>
      </c>
      <c r="G162" s="65">
        <v>156.12</v>
      </c>
      <c r="H162" s="65">
        <v>460.88</v>
      </c>
      <c r="I162" s="65">
        <v>222498.81</v>
      </c>
      <c r="J162" s="65">
        <v>156.12</v>
      </c>
      <c r="K162" s="65">
        <v>460.88</v>
      </c>
    </row>
    <row r="163" spans="1:11" ht="25.5">
      <c r="A163" s="61">
        <v>78</v>
      </c>
      <c r="B163" s="62" t="s">
        <v>467</v>
      </c>
      <c r="C163" s="73" t="s">
        <v>464</v>
      </c>
      <c r="D163" s="63" t="s">
        <v>465</v>
      </c>
      <c r="E163" s="66" t="s">
        <v>468</v>
      </c>
      <c r="F163" s="65">
        <v>137829.33</v>
      </c>
      <c r="G163" s="65">
        <v>193.49</v>
      </c>
      <c r="H163" s="65">
        <v>1757.27</v>
      </c>
      <c r="I163" s="65">
        <v>137829.33</v>
      </c>
      <c r="J163" s="65">
        <v>193.49</v>
      </c>
      <c r="K163" s="65">
        <v>1757.27</v>
      </c>
    </row>
    <row r="164" spans="1:11" ht="25.5">
      <c r="A164" s="61">
        <v>79</v>
      </c>
      <c r="B164" s="62" t="s">
        <v>469</v>
      </c>
      <c r="C164" s="73" t="s">
        <v>464</v>
      </c>
      <c r="D164" s="63" t="s">
        <v>465</v>
      </c>
      <c r="E164" s="66" t="s">
        <v>470</v>
      </c>
      <c r="F164" s="65">
        <v>224855.6</v>
      </c>
      <c r="G164" s="65">
        <v>472.58</v>
      </c>
      <c r="H164" s="65">
        <v>1017.49</v>
      </c>
      <c r="I164" s="65">
        <v>224855.6</v>
      </c>
      <c r="J164" s="65">
        <v>472.58</v>
      </c>
      <c r="K164" s="65">
        <v>1017.49</v>
      </c>
    </row>
    <row r="165" spans="1:11" ht="25.5">
      <c r="A165" s="61">
        <v>80</v>
      </c>
      <c r="B165" s="62" t="s">
        <v>471</v>
      </c>
      <c r="C165" s="73" t="s">
        <v>472</v>
      </c>
      <c r="D165" s="63" t="s">
        <v>473</v>
      </c>
      <c r="E165" s="66" t="s">
        <v>474</v>
      </c>
      <c r="F165" s="65">
        <v>197936.1</v>
      </c>
      <c r="G165" s="65">
        <v>97.88</v>
      </c>
      <c r="H165" s="65">
        <v>514.73</v>
      </c>
      <c r="I165" s="65">
        <v>197936.1</v>
      </c>
      <c r="J165" s="65">
        <v>97.88</v>
      </c>
      <c r="K165" s="65">
        <v>514.73</v>
      </c>
    </row>
    <row r="166" spans="1:11" ht="25.5">
      <c r="A166" s="61">
        <v>81</v>
      </c>
      <c r="B166" s="62" t="s">
        <v>475</v>
      </c>
      <c r="C166" s="73" t="s">
        <v>476</v>
      </c>
      <c r="D166" s="63" t="s">
        <v>477</v>
      </c>
      <c r="E166" s="66" t="s">
        <v>478</v>
      </c>
      <c r="F166" s="65">
        <v>56110.63</v>
      </c>
      <c r="G166" s="65">
        <v>56.34</v>
      </c>
      <c r="H166" s="65">
        <v>489.18</v>
      </c>
      <c r="I166" s="65">
        <v>56110.63</v>
      </c>
      <c r="J166" s="65">
        <v>56.34</v>
      </c>
      <c r="K166" s="65">
        <v>489.18</v>
      </c>
    </row>
    <row r="167" spans="1:11" ht="25.5">
      <c r="A167" s="61">
        <v>82</v>
      </c>
      <c r="B167" s="62" t="s">
        <v>479</v>
      </c>
      <c r="C167" s="73" t="s">
        <v>480</v>
      </c>
      <c r="D167" s="63" t="s">
        <v>481</v>
      </c>
      <c r="E167" s="66" t="s">
        <v>482</v>
      </c>
      <c r="F167" s="65" t="s">
        <v>233</v>
      </c>
      <c r="G167" s="65" t="s">
        <v>233</v>
      </c>
      <c r="H167" s="65" t="s">
        <v>233</v>
      </c>
      <c r="I167" s="65">
        <v>30434.89</v>
      </c>
      <c r="J167" s="65">
        <v>61.66</v>
      </c>
      <c r="K167" s="65">
        <v>188.85</v>
      </c>
    </row>
    <row r="168" spans="1:11" ht="25.5">
      <c r="A168" s="61">
        <v>83</v>
      </c>
      <c r="B168" s="62" t="s">
        <v>483</v>
      </c>
      <c r="C168" s="73" t="s">
        <v>484</v>
      </c>
      <c r="D168" s="63" t="s">
        <v>485</v>
      </c>
      <c r="E168" s="66" t="s">
        <v>486</v>
      </c>
      <c r="F168" s="65" t="s">
        <v>233</v>
      </c>
      <c r="G168" s="65" t="s">
        <v>233</v>
      </c>
      <c r="H168" s="65" t="s">
        <v>233</v>
      </c>
      <c r="I168" s="65">
        <v>72666.67</v>
      </c>
      <c r="J168" s="65">
        <v>104.38</v>
      </c>
      <c r="K168" s="65">
        <v>1123.83</v>
      </c>
    </row>
    <row r="169" spans="1:11" ht="25.5">
      <c r="A169" s="61">
        <v>84</v>
      </c>
      <c r="B169" s="62" t="s">
        <v>487</v>
      </c>
      <c r="C169" s="73" t="s">
        <v>488</v>
      </c>
      <c r="D169" s="63" t="s">
        <v>489</v>
      </c>
      <c r="E169" s="66" t="s">
        <v>490</v>
      </c>
      <c r="F169" s="65" t="s">
        <v>233</v>
      </c>
      <c r="G169" s="65" t="s">
        <v>233</v>
      </c>
      <c r="H169" s="65" t="s">
        <v>233</v>
      </c>
      <c r="I169" s="65">
        <v>77919.05</v>
      </c>
      <c r="J169" s="65">
        <v>15.95</v>
      </c>
      <c r="K169" s="65">
        <v>127.59</v>
      </c>
    </row>
    <row r="170" spans="1:11" ht="12.75">
      <c r="A170" s="106" t="s">
        <v>381</v>
      </c>
      <c r="B170" s="107"/>
      <c r="C170" s="107"/>
      <c r="D170" s="107"/>
      <c r="E170" s="107"/>
      <c r="F170" s="107"/>
      <c r="G170" s="107"/>
      <c r="H170" s="107"/>
      <c r="I170" s="107"/>
      <c r="J170" s="107"/>
      <c r="K170" s="108"/>
    </row>
    <row r="171" spans="1:11" ht="12.75">
      <c r="A171" s="117">
        <v>1</v>
      </c>
      <c r="B171" s="123" t="s">
        <v>157</v>
      </c>
      <c r="C171" s="141">
        <v>41649</v>
      </c>
      <c r="D171" s="123" t="s">
        <v>78</v>
      </c>
      <c r="E171" s="66" t="s">
        <v>158</v>
      </c>
      <c r="F171" s="65">
        <v>290028.299</v>
      </c>
      <c r="G171" s="65">
        <v>116.717</v>
      </c>
      <c r="H171" s="65">
        <v>572.778</v>
      </c>
      <c r="I171" s="65">
        <v>290028.299</v>
      </c>
      <c r="J171" s="65">
        <v>116.717</v>
      </c>
      <c r="K171" s="65">
        <v>572.778</v>
      </c>
    </row>
    <row r="172" spans="1:11" ht="12.75">
      <c r="A172" s="118"/>
      <c r="B172" s="124"/>
      <c r="C172" s="142"/>
      <c r="D172" s="124"/>
      <c r="E172" s="66" t="s">
        <v>159</v>
      </c>
      <c r="F172" s="65">
        <v>29968.286</v>
      </c>
      <c r="G172" s="65">
        <v>16.014</v>
      </c>
      <c r="H172" s="65">
        <v>106.502</v>
      </c>
      <c r="I172" s="65">
        <v>29968.286</v>
      </c>
      <c r="J172" s="65">
        <v>16.014</v>
      </c>
      <c r="K172" s="65">
        <v>106.502</v>
      </c>
    </row>
    <row r="173" spans="1:11" ht="38.25">
      <c r="A173" s="118"/>
      <c r="B173" s="124"/>
      <c r="C173" s="142"/>
      <c r="D173" s="124"/>
      <c r="E173" s="66" t="s">
        <v>160</v>
      </c>
      <c r="F173" s="65">
        <v>169758.395</v>
      </c>
      <c r="G173" s="65">
        <v>73.433</v>
      </c>
      <c r="H173" s="65">
        <v>594.865</v>
      </c>
      <c r="I173" s="65">
        <v>169758.395</v>
      </c>
      <c r="J173" s="65">
        <v>73.433</v>
      </c>
      <c r="K173" s="65">
        <v>594.865</v>
      </c>
    </row>
    <row r="174" spans="1:11" ht="25.5">
      <c r="A174" s="118"/>
      <c r="B174" s="124"/>
      <c r="C174" s="142"/>
      <c r="D174" s="124"/>
      <c r="E174" s="66" t="s">
        <v>161</v>
      </c>
      <c r="F174" s="65">
        <v>722262.186</v>
      </c>
      <c r="G174" s="65">
        <v>155.929</v>
      </c>
      <c r="H174" s="65">
        <v>2292.928</v>
      </c>
      <c r="I174" s="65">
        <v>722262.186</v>
      </c>
      <c r="J174" s="65">
        <v>155.929</v>
      </c>
      <c r="K174" s="65">
        <v>2292.928</v>
      </c>
    </row>
    <row r="175" spans="1:11" ht="12.75">
      <c r="A175" s="118"/>
      <c r="B175" s="124"/>
      <c r="C175" s="142"/>
      <c r="D175" s="124"/>
      <c r="E175" s="66" t="s">
        <v>162</v>
      </c>
      <c r="F175" s="65">
        <v>169954.713</v>
      </c>
      <c r="G175" s="65">
        <v>14.747</v>
      </c>
      <c r="H175" s="65">
        <v>314.654</v>
      </c>
      <c r="I175" s="65">
        <v>169954.713</v>
      </c>
      <c r="J175" s="65">
        <v>14.747</v>
      </c>
      <c r="K175" s="65">
        <v>314.654</v>
      </c>
    </row>
    <row r="176" spans="1:11" ht="12.75">
      <c r="A176" s="118"/>
      <c r="B176" s="124"/>
      <c r="C176" s="142"/>
      <c r="D176" s="124"/>
      <c r="E176" s="66" t="s">
        <v>163</v>
      </c>
      <c r="F176" s="65">
        <v>172608.118</v>
      </c>
      <c r="G176" s="65">
        <v>59.472</v>
      </c>
      <c r="H176" s="65">
        <v>339.403</v>
      </c>
      <c r="I176" s="65">
        <v>172608.118</v>
      </c>
      <c r="J176" s="65">
        <v>59.472</v>
      </c>
      <c r="K176" s="65">
        <v>339.403</v>
      </c>
    </row>
    <row r="177" spans="1:11" ht="25.5">
      <c r="A177" s="118"/>
      <c r="B177" s="124"/>
      <c r="C177" s="142"/>
      <c r="D177" s="124"/>
      <c r="E177" s="66" t="s">
        <v>164</v>
      </c>
      <c r="F177" s="65">
        <v>69410.156</v>
      </c>
      <c r="G177" s="65">
        <v>191.679</v>
      </c>
      <c r="H177" s="65">
        <v>378.228</v>
      </c>
      <c r="I177" s="65">
        <v>69410.156</v>
      </c>
      <c r="J177" s="65">
        <v>191.679</v>
      </c>
      <c r="K177" s="65">
        <v>378.228</v>
      </c>
    </row>
    <row r="178" spans="1:11" ht="12.75">
      <c r="A178" s="118"/>
      <c r="B178" s="124"/>
      <c r="C178" s="142"/>
      <c r="D178" s="124"/>
      <c r="E178" s="66" t="s">
        <v>165</v>
      </c>
      <c r="F178" s="65">
        <v>10306.242</v>
      </c>
      <c r="G178" s="65">
        <v>20.182</v>
      </c>
      <c r="H178" s="65">
        <v>47.642</v>
      </c>
      <c r="I178" s="65">
        <v>10306.242</v>
      </c>
      <c r="J178" s="65">
        <v>20.182</v>
      </c>
      <c r="K178" s="65">
        <v>47.642</v>
      </c>
    </row>
    <row r="179" spans="1:11" ht="12.75">
      <c r="A179" s="118"/>
      <c r="B179" s="124"/>
      <c r="C179" s="142"/>
      <c r="D179" s="124"/>
      <c r="E179" s="66" t="s">
        <v>166</v>
      </c>
      <c r="F179" s="65">
        <v>846463.892</v>
      </c>
      <c r="G179" s="65">
        <v>72.523</v>
      </c>
      <c r="H179" s="65">
        <v>2936.307</v>
      </c>
      <c r="I179" s="65">
        <v>846463.892</v>
      </c>
      <c r="J179" s="65">
        <v>72.523</v>
      </c>
      <c r="K179" s="65">
        <v>2936.307</v>
      </c>
    </row>
    <row r="180" spans="1:11" ht="12.75">
      <c r="A180" s="118"/>
      <c r="B180" s="124"/>
      <c r="C180" s="142"/>
      <c r="D180" s="124"/>
      <c r="E180" s="66" t="s">
        <v>167</v>
      </c>
      <c r="F180" s="65">
        <v>79997.416</v>
      </c>
      <c r="G180" s="65">
        <v>134.666</v>
      </c>
      <c r="H180" s="65">
        <v>247.352</v>
      </c>
      <c r="I180" s="65">
        <v>79997.416</v>
      </c>
      <c r="J180" s="65">
        <v>134.666</v>
      </c>
      <c r="K180" s="65">
        <v>247.352</v>
      </c>
    </row>
    <row r="181" spans="1:11" ht="38.25">
      <c r="A181" s="118"/>
      <c r="B181" s="124"/>
      <c r="C181" s="142"/>
      <c r="D181" s="124"/>
      <c r="E181" s="66" t="s">
        <v>168</v>
      </c>
      <c r="F181" s="65">
        <v>238031.917</v>
      </c>
      <c r="G181" s="65">
        <v>147.56</v>
      </c>
      <c r="H181" s="65">
        <v>719.802</v>
      </c>
      <c r="I181" s="65">
        <v>238031.917</v>
      </c>
      <c r="J181" s="65">
        <v>147.56</v>
      </c>
      <c r="K181" s="65">
        <v>719.802</v>
      </c>
    </row>
    <row r="182" spans="1:11" ht="51">
      <c r="A182" s="118"/>
      <c r="B182" s="124"/>
      <c r="C182" s="142"/>
      <c r="D182" s="124"/>
      <c r="E182" s="66" t="s">
        <v>169</v>
      </c>
      <c r="F182" s="65">
        <v>36540.36</v>
      </c>
      <c r="G182" s="65">
        <v>33.719</v>
      </c>
      <c r="H182" s="65">
        <v>102.104</v>
      </c>
      <c r="I182" s="65">
        <v>36540.36</v>
      </c>
      <c r="J182" s="65">
        <v>33.719</v>
      </c>
      <c r="K182" s="65">
        <v>102.104</v>
      </c>
    </row>
    <row r="183" spans="1:11" ht="12.75">
      <c r="A183" s="119"/>
      <c r="B183" s="125"/>
      <c r="C183" s="143"/>
      <c r="D183" s="125"/>
      <c r="E183" s="66" t="s">
        <v>170</v>
      </c>
      <c r="F183" s="65">
        <v>328201.144</v>
      </c>
      <c r="G183" s="65">
        <v>142.619</v>
      </c>
      <c r="H183" s="65">
        <v>892.449</v>
      </c>
      <c r="I183" s="65">
        <v>328201.144</v>
      </c>
      <c r="J183" s="65">
        <v>142.619</v>
      </c>
      <c r="K183" s="65">
        <v>892.449</v>
      </c>
    </row>
    <row r="184" spans="1:11" ht="27" customHeight="1">
      <c r="A184" s="84">
        <v>2</v>
      </c>
      <c r="B184" s="62" t="s">
        <v>171</v>
      </c>
      <c r="C184" s="90">
        <v>41488</v>
      </c>
      <c r="D184" s="63" t="s">
        <v>172</v>
      </c>
      <c r="E184" s="66" t="s">
        <v>173</v>
      </c>
      <c r="F184" s="65">
        <v>551076.89</v>
      </c>
      <c r="G184" s="65">
        <v>137.05</v>
      </c>
      <c r="H184" s="65">
        <v>1356.69</v>
      </c>
      <c r="I184" s="65">
        <v>551076.89</v>
      </c>
      <c r="J184" s="65">
        <v>137.05</v>
      </c>
      <c r="K184" s="65">
        <v>1356.69</v>
      </c>
    </row>
    <row r="185" spans="1:11" ht="29.25" customHeight="1">
      <c r="A185" s="84">
        <v>3</v>
      </c>
      <c r="B185" s="62" t="s">
        <v>508</v>
      </c>
      <c r="C185" s="90">
        <v>41887</v>
      </c>
      <c r="D185" s="63" t="s">
        <v>509</v>
      </c>
      <c r="E185" s="66" t="s">
        <v>510</v>
      </c>
      <c r="F185" s="65">
        <v>153365.84</v>
      </c>
      <c r="G185" s="65">
        <v>6.52</v>
      </c>
      <c r="H185" s="65">
        <v>220.03</v>
      </c>
      <c r="I185" s="65">
        <v>153365.84</v>
      </c>
      <c r="J185" s="65">
        <v>6.52</v>
      </c>
      <c r="K185" s="65">
        <v>220.03</v>
      </c>
    </row>
    <row r="186" spans="1:11" ht="12.75">
      <c r="A186" s="106" t="s">
        <v>385</v>
      </c>
      <c r="B186" s="107"/>
      <c r="C186" s="107"/>
      <c r="D186" s="107"/>
      <c r="E186" s="107"/>
      <c r="F186" s="107"/>
      <c r="G186" s="107"/>
      <c r="H186" s="107"/>
      <c r="I186" s="107"/>
      <c r="J186" s="107"/>
      <c r="K186" s="108"/>
    </row>
    <row r="187" spans="1:11" ht="12.75">
      <c r="A187" s="61">
        <v>1</v>
      </c>
      <c r="B187" s="62" t="s">
        <v>174</v>
      </c>
      <c r="C187" s="73" t="s">
        <v>175</v>
      </c>
      <c r="D187" s="63" t="s">
        <v>176</v>
      </c>
      <c r="E187" s="66" t="s">
        <v>177</v>
      </c>
      <c r="F187" s="65">
        <f>55.595309*1000</f>
        <v>55595.309</v>
      </c>
      <c r="G187" s="65">
        <f>0.027106*1000</f>
        <v>27.106</v>
      </c>
      <c r="H187" s="65">
        <f>0.152322*1000</f>
        <v>152.322</v>
      </c>
      <c r="I187" s="65">
        <f>58.099027*1000</f>
        <v>58099.027</v>
      </c>
      <c r="J187" s="65">
        <f>0.027859*1000</f>
        <v>27.858999999999998</v>
      </c>
      <c r="K187" s="65">
        <f>0.15998*1000</f>
        <v>159.98000000000002</v>
      </c>
    </row>
    <row r="188" spans="1:11" ht="12.75">
      <c r="A188" s="61">
        <v>2</v>
      </c>
      <c r="B188" s="62" t="s">
        <v>178</v>
      </c>
      <c r="C188" s="73" t="s">
        <v>175</v>
      </c>
      <c r="D188" s="63" t="s">
        <v>176</v>
      </c>
      <c r="E188" s="66" t="s">
        <v>59</v>
      </c>
      <c r="F188" s="65">
        <f>524.531701*1000</f>
        <v>524531.701</v>
      </c>
      <c r="G188" s="65">
        <f>0.1462*1000</f>
        <v>146.2</v>
      </c>
      <c r="H188" s="65">
        <f>1.822328*1000</f>
        <v>1822.328</v>
      </c>
      <c r="I188" s="65">
        <f>1107.867683*1000</f>
        <v>1107867.683</v>
      </c>
      <c r="J188" s="65">
        <f>0.231906*1000</f>
        <v>231.906</v>
      </c>
      <c r="K188" s="65">
        <f>3.771871*1000</f>
        <v>3771.871</v>
      </c>
    </row>
    <row r="189" spans="1:11" ht="12.75">
      <c r="A189" s="61">
        <v>3</v>
      </c>
      <c r="B189" s="62" t="s">
        <v>179</v>
      </c>
      <c r="C189" s="73" t="s">
        <v>175</v>
      </c>
      <c r="D189" s="63" t="s">
        <v>176</v>
      </c>
      <c r="E189" s="66" t="s">
        <v>180</v>
      </c>
      <c r="F189" s="65">
        <f>9.7106*1000</f>
        <v>9710.599999999999</v>
      </c>
      <c r="G189" s="65">
        <f>0.015586*1000</f>
        <v>15.585999999999999</v>
      </c>
      <c r="H189" s="65">
        <f>0.051512*1000</f>
        <v>51.512</v>
      </c>
      <c r="I189" s="65">
        <f>9.7106*1000</f>
        <v>9710.599999999999</v>
      </c>
      <c r="J189" s="65">
        <f>0.01859*1000</f>
        <v>18.59</v>
      </c>
      <c r="K189" s="65">
        <f>0.054844*1000</f>
        <v>54.843999999999994</v>
      </c>
    </row>
    <row r="190" spans="1:11" ht="12.75">
      <c r="A190" s="61">
        <v>4</v>
      </c>
      <c r="B190" s="62" t="s">
        <v>181</v>
      </c>
      <c r="C190" s="73" t="s">
        <v>175</v>
      </c>
      <c r="D190" s="63" t="s">
        <v>176</v>
      </c>
      <c r="E190" s="66" t="s">
        <v>182</v>
      </c>
      <c r="F190" s="65">
        <f>28.414705*1000</f>
        <v>28414.705</v>
      </c>
      <c r="G190" s="65">
        <f>0.051283*1000</f>
        <v>51.283</v>
      </c>
      <c r="H190" s="65">
        <f>0.108127*1000</f>
        <v>108.127</v>
      </c>
      <c r="I190" s="65">
        <f>32.532381*1000</f>
        <v>32532.381</v>
      </c>
      <c r="J190" s="65">
        <f>0.053634*1000</f>
        <v>53.634</v>
      </c>
      <c r="K190" s="65">
        <f>0.119035*1000</f>
        <v>119.035</v>
      </c>
    </row>
    <row r="191" spans="1:11" ht="12.75">
      <c r="A191" s="61">
        <v>5</v>
      </c>
      <c r="B191" s="62" t="s">
        <v>183</v>
      </c>
      <c r="C191" s="73" t="s">
        <v>175</v>
      </c>
      <c r="D191" s="63" t="s">
        <v>176</v>
      </c>
      <c r="E191" s="66" t="s">
        <v>184</v>
      </c>
      <c r="F191" s="65">
        <f>4.844595*1000</f>
        <v>4844.595</v>
      </c>
      <c r="G191" s="65">
        <f>0.037697*1000</f>
        <v>37.697</v>
      </c>
      <c r="H191" s="65">
        <f>0.055664*1000</f>
        <v>55.664</v>
      </c>
      <c r="I191" s="65">
        <f>4.844595*1000</f>
        <v>4844.595</v>
      </c>
      <c r="J191" s="65">
        <f>0.039507*1000</f>
        <v>39.507</v>
      </c>
      <c r="K191" s="65">
        <f>0.057638*1000</f>
        <v>57.638000000000005</v>
      </c>
    </row>
    <row r="192" spans="1:11" ht="12.75">
      <c r="A192" s="61">
        <v>6</v>
      </c>
      <c r="B192" s="62" t="s">
        <v>185</v>
      </c>
      <c r="C192" s="73" t="s">
        <v>175</v>
      </c>
      <c r="D192" s="63" t="s">
        <v>176</v>
      </c>
      <c r="E192" s="66" t="s">
        <v>186</v>
      </c>
      <c r="F192" s="65">
        <f>17.062142*1000</f>
        <v>17062.142</v>
      </c>
      <c r="G192" s="65">
        <f>0.084691*1000</f>
        <v>84.691</v>
      </c>
      <c r="H192" s="65">
        <f>0.125695*1000</f>
        <v>125.69500000000001</v>
      </c>
      <c r="I192" s="65">
        <f>18.544283*1000</f>
        <v>18544.283</v>
      </c>
      <c r="J192" s="65">
        <f>0.087271*1000</f>
        <v>87.271</v>
      </c>
      <c r="K192" s="65">
        <f>0.131837*1000</f>
        <v>131.83700000000002</v>
      </c>
    </row>
    <row r="193" spans="1:11" ht="12.75">
      <c r="A193" s="61">
        <v>7</v>
      </c>
      <c r="B193" s="62" t="s">
        <v>187</v>
      </c>
      <c r="C193" s="73" t="s">
        <v>175</v>
      </c>
      <c r="D193" s="63" t="s">
        <v>176</v>
      </c>
      <c r="E193" s="66" t="s">
        <v>188</v>
      </c>
      <c r="F193" s="65">
        <f>7.909314*1000</f>
        <v>7909.314</v>
      </c>
      <c r="G193" s="65">
        <f>0.046351*1000</f>
        <v>46.351000000000006</v>
      </c>
      <c r="H193" s="65">
        <f>0.071399*1000</f>
        <v>71.399</v>
      </c>
      <c r="I193" s="65">
        <f>12.543503*1000</f>
        <v>12543.502999999999</v>
      </c>
      <c r="J193" s="65">
        <f>0.046171*1000</f>
        <v>46.171</v>
      </c>
      <c r="K193" s="65">
        <f>0.084783*1000</f>
        <v>84.783</v>
      </c>
    </row>
    <row r="194" spans="1:11" ht="12.75">
      <c r="A194" s="61">
        <v>8</v>
      </c>
      <c r="B194" s="62" t="s">
        <v>189</v>
      </c>
      <c r="C194" s="73" t="s">
        <v>175</v>
      </c>
      <c r="D194" s="63" t="s">
        <v>176</v>
      </c>
      <c r="E194" s="66" t="s">
        <v>190</v>
      </c>
      <c r="F194" s="65">
        <f>84.25266*1000</f>
        <v>84252.66</v>
      </c>
      <c r="G194" s="65">
        <f>0.008319*1000</f>
        <v>8.319</v>
      </c>
      <c r="H194" s="65">
        <f>0.156748*1000</f>
        <v>156.748</v>
      </c>
      <c r="I194" s="65">
        <f>140.578701*1000</f>
        <v>140578.701</v>
      </c>
      <c r="J194" s="65">
        <f>0.00741*1000</f>
        <v>7.41</v>
      </c>
      <c r="K194" s="65">
        <f>0.272471*1000</f>
        <v>272.471</v>
      </c>
    </row>
    <row r="195" spans="1:11" ht="12.75">
      <c r="A195" s="61">
        <v>9</v>
      </c>
      <c r="B195" s="62" t="s">
        <v>191</v>
      </c>
      <c r="C195" s="73" t="s">
        <v>175</v>
      </c>
      <c r="D195" s="63" t="s">
        <v>176</v>
      </c>
      <c r="E195" s="66" t="s">
        <v>192</v>
      </c>
      <c r="F195" s="65">
        <f>212.744016*1000</f>
        <v>212744.01599999997</v>
      </c>
      <c r="G195" s="65">
        <f>0.113855*1000</f>
        <v>113.855</v>
      </c>
      <c r="H195" s="65">
        <f>0.592464*1000</f>
        <v>592.4639999999999</v>
      </c>
      <c r="I195" s="65">
        <f>212.744016*1000</f>
        <v>212744.01599999997</v>
      </c>
      <c r="J195" s="65">
        <f>0.117541*1000</f>
        <v>117.54100000000001</v>
      </c>
      <c r="K195" s="65">
        <f>0.594561*1000</f>
        <v>594.561</v>
      </c>
    </row>
    <row r="196" spans="1:11" ht="38.25">
      <c r="A196" s="61">
        <v>10</v>
      </c>
      <c r="B196" s="62" t="s">
        <v>193</v>
      </c>
      <c r="C196" s="73" t="s">
        <v>175</v>
      </c>
      <c r="D196" s="63" t="s">
        <v>176</v>
      </c>
      <c r="E196" s="66" t="s">
        <v>194</v>
      </c>
      <c r="F196" s="65">
        <f>251.682836*1000</f>
        <v>251682.836</v>
      </c>
      <c r="G196" s="65">
        <f>0.130518*1000</f>
        <v>130.518</v>
      </c>
      <c r="H196" s="65">
        <f>0.583708*1000</f>
        <v>583.708</v>
      </c>
      <c r="I196" s="65">
        <f>251.682836*1000</f>
        <v>251682.836</v>
      </c>
      <c r="J196" s="65">
        <f>0.134247*1000</f>
        <v>134.247</v>
      </c>
      <c r="K196" s="65">
        <f>0.586534*1000</f>
        <v>586.534</v>
      </c>
    </row>
    <row r="197" spans="1:11" ht="38.25">
      <c r="A197" s="61">
        <v>11</v>
      </c>
      <c r="B197" s="62" t="s">
        <v>195</v>
      </c>
      <c r="C197" s="73" t="s">
        <v>175</v>
      </c>
      <c r="D197" s="63" t="s">
        <v>176</v>
      </c>
      <c r="E197" s="66" t="s">
        <v>196</v>
      </c>
      <c r="F197" s="65">
        <f>152.295889*1000</f>
        <v>152295.889</v>
      </c>
      <c r="G197" s="65">
        <f>0.143519*1000</f>
        <v>143.519</v>
      </c>
      <c r="H197" s="65">
        <f>0.413525*1000</f>
        <v>413.525</v>
      </c>
      <c r="I197" s="65">
        <f>309.067029*1000</f>
        <v>309067.029</v>
      </c>
      <c r="J197" s="65">
        <f>0.147532*1000</f>
        <v>147.53199999999998</v>
      </c>
      <c r="K197" s="65">
        <f>0.696102*1000</f>
        <v>696.102</v>
      </c>
    </row>
    <row r="198" spans="1:11" ht="25.5">
      <c r="A198" s="61">
        <v>12</v>
      </c>
      <c r="B198" s="62" t="s">
        <v>197</v>
      </c>
      <c r="C198" s="73" t="s">
        <v>175</v>
      </c>
      <c r="D198" s="63" t="s">
        <v>176</v>
      </c>
      <c r="E198" s="66" t="s">
        <v>198</v>
      </c>
      <c r="F198" s="65">
        <f>282.227488*1000</f>
        <v>282227.488</v>
      </c>
      <c r="G198" s="65">
        <f>0.059721*1000</f>
        <v>59.721000000000004</v>
      </c>
      <c r="H198" s="65">
        <f>0.546505*1000</f>
        <v>546.505</v>
      </c>
      <c r="I198" s="65">
        <f>451.18004*1000</f>
        <v>451180.04000000004</v>
      </c>
      <c r="J198" s="65">
        <f>0.061054*1000</f>
        <v>61.053999999999995</v>
      </c>
      <c r="K198" s="65">
        <f>0.830429*1000</f>
        <v>830.429</v>
      </c>
    </row>
    <row r="199" spans="1:11" ht="12.75">
      <c r="A199" s="61">
        <v>13</v>
      </c>
      <c r="B199" s="62" t="s">
        <v>199</v>
      </c>
      <c r="C199" s="73" t="s">
        <v>175</v>
      </c>
      <c r="D199" s="63" t="s">
        <v>176</v>
      </c>
      <c r="E199" s="66" t="s">
        <v>200</v>
      </c>
      <c r="F199" s="65">
        <f>257.940628*1000</f>
        <v>257940.628</v>
      </c>
      <c r="G199" s="65">
        <f>0.046451*1000</f>
        <v>46.451</v>
      </c>
      <c r="H199" s="65">
        <f>0.403726*1000</f>
        <v>403.726</v>
      </c>
      <c r="I199" s="65">
        <f>693.336606*1000</f>
        <v>693336.6059999999</v>
      </c>
      <c r="J199" s="65">
        <f>0.047614*1000</f>
        <v>47.614</v>
      </c>
      <c r="K199" s="65">
        <f>0.987974*1000</f>
        <v>987.974</v>
      </c>
    </row>
    <row r="200" spans="1:11" ht="25.5">
      <c r="A200" s="61">
        <v>14</v>
      </c>
      <c r="B200" s="62" t="s">
        <v>201</v>
      </c>
      <c r="C200" s="73" t="s">
        <v>175</v>
      </c>
      <c r="D200" s="63" t="s">
        <v>176</v>
      </c>
      <c r="E200" s="66" t="s">
        <v>202</v>
      </c>
      <c r="F200" s="65">
        <f>210.378599*1000</f>
        <v>210378.59900000002</v>
      </c>
      <c r="G200" s="65">
        <f>0.152873*1000</f>
        <v>152.87300000000002</v>
      </c>
      <c r="H200" s="65">
        <f>0.509944*1000</f>
        <v>509.94399999999996</v>
      </c>
      <c r="I200" s="65">
        <f>219.15727*1000</f>
        <v>219157.27000000002</v>
      </c>
      <c r="J200" s="65">
        <f>0.147617*1000</f>
        <v>147.617</v>
      </c>
      <c r="K200" s="65">
        <f>0.508511*1000</f>
        <v>508.511</v>
      </c>
    </row>
    <row r="201" spans="1:11" ht="12.75">
      <c r="A201" s="61">
        <v>15</v>
      </c>
      <c r="B201" s="62" t="s">
        <v>203</v>
      </c>
      <c r="C201" s="73" t="s">
        <v>175</v>
      </c>
      <c r="D201" s="63" t="s">
        <v>176</v>
      </c>
      <c r="E201" s="66" t="s">
        <v>204</v>
      </c>
      <c r="F201" s="65">
        <f>235.775356*1000</f>
        <v>235775.356</v>
      </c>
      <c r="G201" s="65">
        <f>0.01631*1000</f>
        <v>16.310000000000002</v>
      </c>
      <c r="H201" s="65">
        <f>0.575884*1000</f>
        <v>575.8839999999999</v>
      </c>
      <c r="I201" s="65">
        <f>244.632619*1000</f>
        <v>244632.619</v>
      </c>
      <c r="J201" s="65">
        <f>0.015529*1000</f>
        <v>15.529</v>
      </c>
      <c r="K201" s="65">
        <f>0.567768*1000</f>
        <v>567.768</v>
      </c>
    </row>
    <row r="202" spans="1:11" ht="12.75">
      <c r="A202" s="61">
        <v>16</v>
      </c>
      <c r="B202" s="62" t="s">
        <v>205</v>
      </c>
      <c r="C202" s="73" t="s">
        <v>175</v>
      </c>
      <c r="D202" s="63" t="s">
        <v>176</v>
      </c>
      <c r="E202" s="66" t="s">
        <v>206</v>
      </c>
      <c r="F202" s="89">
        <f>265.136551*1000</f>
        <v>265136.551</v>
      </c>
      <c r="G202" s="65">
        <f>0.327831*1000</f>
        <v>327.83099999999996</v>
      </c>
      <c r="H202" s="83">
        <f>0.892055*1000</f>
        <v>892.0550000000001</v>
      </c>
      <c r="I202" s="65">
        <f>312.50101*1000</f>
        <v>312501.01</v>
      </c>
      <c r="J202" s="65">
        <f>0.334385*1000</f>
        <v>334.385</v>
      </c>
      <c r="K202" s="65">
        <f>1.00297*1000</f>
        <v>1002.9699999999999</v>
      </c>
    </row>
    <row r="203" spans="1:11" ht="32.25" customHeight="1">
      <c r="A203" s="78"/>
      <c r="B203" s="88"/>
      <c r="C203" s="73"/>
      <c r="D203" s="81"/>
      <c r="E203" s="66"/>
      <c r="F203" s="126"/>
      <c r="G203" s="127"/>
      <c r="H203" s="128"/>
      <c r="I203" s="135" t="s">
        <v>533</v>
      </c>
      <c r="J203" s="136"/>
      <c r="K203" s="137"/>
    </row>
    <row r="204" spans="1:11" ht="12.75">
      <c r="A204" s="78">
        <v>17</v>
      </c>
      <c r="B204" s="88" t="s">
        <v>529</v>
      </c>
      <c r="C204" s="104">
        <v>41969</v>
      </c>
      <c r="D204" s="81" t="s">
        <v>640</v>
      </c>
      <c r="E204" s="66" t="s">
        <v>531</v>
      </c>
      <c r="F204" s="129"/>
      <c r="G204" s="130"/>
      <c r="H204" s="131"/>
      <c r="I204" s="65">
        <f>44.788261*1000</f>
        <v>44788.261</v>
      </c>
      <c r="J204" s="82">
        <f>0.027834*1000</f>
        <v>27.834</v>
      </c>
      <c r="K204" s="65">
        <f>0.110464*1000</f>
        <v>110.46400000000001</v>
      </c>
    </row>
    <row r="205" spans="1:11" ht="12.75">
      <c r="A205" s="78">
        <v>18</v>
      </c>
      <c r="B205" s="88" t="s">
        <v>530</v>
      </c>
      <c r="C205" s="104">
        <v>41969</v>
      </c>
      <c r="D205" s="81" t="s">
        <v>640</v>
      </c>
      <c r="E205" s="66" t="s">
        <v>532</v>
      </c>
      <c r="F205" s="132"/>
      <c r="G205" s="133"/>
      <c r="H205" s="134"/>
      <c r="I205" s="65">
        <f>100.9944*1000</f>
        <v>100994.4</v>
      </c>
      <c r="J205" s="82">
        <f>0.06987*1000</f>
        <v>69.87</v>
      </c>
      <c r="K205" s="65">
        <f>0.409387*1000</f>
        <v>409.387</v>
      </c>
    </row>
    <row r="206" spans="1:11" ht="12.75">
      <c r="A206" s="106" t="s">
        <v>383</v>
      </c>
      <c r="B206" s="107"/>
      <c r="C206" s="107"/>
      <c r="D206" s="107"/>
      <c r="E206" s="107"/>
      <c r="F206" s="107"/>
      <c r="G206" s="107"/>
      <c r="H206" s="107"/>
      <c r="I206" s="107"/>
      <c r="J206" s="107"/>
      <c r="K206" s="108"/>
    </row>
    <row r="207" spans="1:11" ht="25.5">
      <c r="A207" s="61">
        <v>1</v>
      </c>
      <c r="B207" s="62" t="s">
        <v>209</v>
      </c>
      <c r="C207" s="73" t="s">
        <v>440</v>
      </c>
      <c r="D207" s="63" t="s">
        <v>438</v>
      </c>
      <c r="E207" s="66" t="s">
        <v>210</v>
      </c>
      <c r="F207" s="65">
        <v>470226.36</v>
      </c>
      <c r="G207" s="65">
        <v>295.54</v>
      </c>
      <c r="H207" s="65">
        <v>1315.78</v>
      </c>
      <c r="I207" s="65">
        <v>470226.36</v>
      </c>
      <c r="J207" s="65">
        <v>295.54</v>
      </c>
      <c r="K207" s="65">
        <v>1315.78</v>
      </c>
    </row>
    <row r="208" spans="1:11" ht="12.75">
      <c r="A208" s="61">
        <f>A207+1</f>
        <v>2</v>
      </c>
      <c r="B208" s="62" t="s">
        <v>209</v>
      </c>
      <c r="C208" s="73" t="s">
        <v>440</v>
      </c>
      <c r="D208" s="63" t="s">
        <v>438</v>
      </c>
      <c r="E208" s="66" t="s">
        <v>211</v>
      </c>
      <c r="F208" s="65">
        <v>41741.87</v>
      </c>
      <c r="G208" s="65">
        <v>27.15</v>
      </c>
      <c r="H208" s="65">
        <v>113.22</v>
      </c>
      <c r="I208" s="65">
        <v>41741.87</v>
      </c>
      <c r="J208" s="65">
        <v>27.15</v>
      </c>
      <c r="K208" s="65">
        <v>113.22</v>
      </c>
    </row>
    <row r="209" spans="1:11" ht="12.75">
      <c r="A209" s="61">
        <f aca="true" t="shared" si="1" ref="A209:A228">A208+1</f>
        <v>3</v>
      </c>
      <c r="B209" s="62" t="s">
        <v>209</v>
      </c>
      <c r="C209" s="73" t="s">
        <v>440</v>
      </c>
      <c r="D209" s="63" t="s">
        <v>439</v>
      </c>
      <c r="E209" s="66" t="s">
        <v>212</v>
      </c>
      <c r="F209" s="65">
        <v>130785.34</v>
      </c>
      <c r="G209" s="65">
        <v>127.1</v>
      </c>
      <c r="H209" s="65">
        <v>573.62</v>
      </c>
      <c r="I209" s="65">
        <v>130785.34</v>
      </c>
      <c r="J209" s="65">
        <v>127.1</v>
      </c>
      <c r="K209" s="65">
        <v>573.62</v>
      </c>
    </row>
    <row r="210" spans="1:11" ht="12.75">
      <c r="A210" s="61">
        <f t="shared" si="1"/>
        <v>4</v>
      </c>
      <c r="B210" s="62" t="s">
        <v>209</v>
      </c>
      <c r="C210" s="73" t="s">
        <v>440</v>
      </c>
      <c r="D210" s="63" t="s">
        <v>439</v>
      </c>
      <c r="E210" s="66" t="s">
        <v>213</v>
      </c>
      <c r="F210" s="65">
        <v>58636.76</v>
      </c>
      <c r="G210" s="65">
        <v>40.84</v>
      </c>
      <c r="H210" s="65">
        <v>181.14</v>
      </c>
      <c r="I210" s="65">
        <v>58636.76</v>
      </c>
      <c r="J210" s="65">
        <v>40.84</v>
      </c>
      <c r="K210" s="65">
        <v>181.14</v>
      </c>
    </row>
    <row r="211" spans="1:11" ht="12.75">
      <c r="A211" s="61">
        <f t="shared" si="1"/>
        <v>5</v>
      </c>
      <c r="B211" s="62" t="s">
        <v>209</v>
      </c>
      <c r="C211" s="73" t="s">
        <v>440</v>
      </c>
      <c r="D211" s="63" t="s">
        <v>439</v>
      </c>
      <c r="E211" s="66" t="s">
        <v>214</v>
      </c>
      <c r="F211" s="65">
        <v>70861.99</v>
      </c>
      <c r="G211" s="65">
        <v>56.71</v>
      </c>
      <c r="H211" s="65">
        <v>271.39</v>
      </c>
      <c r="I211" s="65">
        <v>70861.99</v>
      </c>
      <c r="J211" s="65">
        <v>56.71</v>
      </c>
      <c r="K211" s="65">
        <v>271.39</v>
      </c>
    </row>
    <row r="212" spans="1:11" ht="25.5">
      <c r="A212" s="61">
        <f t="shared" si="1"/>
        <v>6</v>
      </c>
      <c r="B212" s="62" t="s">
        <v>209</v>
      </c>
      <c r="C212" s="73" t="s">
        <v>440</v>
      </c>
      <c r="D212" s="63" t="s">
        <v>439</v>
      </c>
      <c r="E212" s="66" t="s">
        <v>215</v>
      </c>
      <c r="F212" s="65">
        <v>21184.91</v>
      </c>
      <c r="G212" s="65">
        <v>26.62</v>
      </c>
      <c r="H212" s="65">
        <v>57.32</v>
      </c>
      <c r="I212" s="65">
        <v>21184.91</v>
      </c>
      <c r="J212" s="65">
        <v>26.62</v>
      </c>
      <c r="K212" s="65">
        <v>57.32</v>
      </c>
    </row>
    <row r="213" spans="1:11" ht="12.75">
      <c r="A213" s="61">
        <f t="shared" si="1"/>
        <v>7</v>
      </c>
      <c r="B213" s="62" t="s">
        <v>209</v>
      </c>
      <c r="C213" s="73" t="s">
        <v>440</v>
      </c>
      <c r="D213" s="63" t="s">
        <v>439</v>
      </c>
      <c r="E213" s="66" t="s">
        <v>216</v>
      </c>
      <c r="F213" s="65">
        <v>29878.64</v>
      </c>
      <c r="G213" s="65">
        <v>37.64</v>
      </c>
      <c r="H213" s="65">
        <v>104.05</v>
      </c>
      <c r="I213" s="65">
        <v>29878.64</v>
      </c>
      <c r="J213" s="65">
        <v>37.64</v>
      </c>
      <c r="K213" s="65">
        <v>104.05</v>
      </c>
    </row>
    <row r="214" spans="1:11" ht="12.75">
      <c r="A214" s="61">
        <f t="shared" si="1"/>
        <v>8</v>
      </c>
      <c r="B214" s="62" t="s">
        <v>209</v>
      </c>
      <c r="C214" s="73" t="s">
        <v>440</v>
      </c>
      <c r="D214" s="63" t="s">
        <v>439</v>
      </c>
      <c r="E214" s="66" t="s">
        <v>217</v>
      </c>
      <c r="F214" s="65">
        <v>42909.42</v>
      </c>
      <c r="G214" s="65">
        <v>101.64</v>
      </c>
      <c r="H214" s="65">
        <v>259.14</v>
      </c>
      <c r="I214" s="65">
        <v>42909.42</v>
      </c>
      <c r="J214" s="65">
        <v>101.64</v>
      </c>
      <c r="K214" s="65">
        <v>259.14</v>
      </c>
    </row>
    <row r="215" spans="1:11" ht="12.75">
      <c r="A215" s="61">
        <f t="shared" si="1"/>
        <v>9</v>
      </c>
      <c r="B215" s="62" t="s">
        <v>209</v>
      </c>
      <c r="C215" s="73" t="s">
        <v>440</v>
      </c>
      <c r="D215" s="63" t="s">
        <v>439</v>
      </c>
      <c r="E215" s="66" t="s">
        <v>218</v>
      </c>
      <c r="F215" s="65">
        <v>21475.54</v>
      </c>
      <c r="G215" s="65">
        <v>11.88</v>
      </c>
      <c r="H215" s="65">
        <v>51.76</v>
      </c>
      <c r="I215" s="65">
        <v>21475.54</v>
      </c>
      <c r="J215" s="65">
        <v>11.88</v>
      </c>
      <c r="K215" s="65">
        <v>51.76</v>
      </c>
    </row>
    <row r="216" spans="1:11" ht="25.5">
      <c r="A216" s="61">
        <f t="shared" si="1"/>
        <v>10</v>
      </c>
      <c r="B216" s="62" t="s">
        <v>209</v>
      </c>
      <c r="C216" s="73" t="s">
        <v>440</v>
      </c>
      <c r="D216" s="63" t="s">
        <v>439</v>
      </c>
      <c r="E216" s="66" t="s">
        <v>219</v>
      </c>
      <c r="F216" s="65">
        <v>55760.58</v>
      </c>
      <c r="G216" s="65">
        <v>125.62</v>
      </c>
      <c r="H216" s="65">
        <v>248.73</v>
      </c>
      <c r="I216" s="65">
        <v>55760.58</v>
      </c>
      <c r="J216" s="65">
        <v>125.62</v>
      </c>
      <c r="K216" s="65">
        <v>248.73</v>
      </c>
    </row>
    <row r="217" spans="1:11" ht="12.75">
      <c r="A217" s="61">
        <f t="shared" si="1"/>
        <v>11</v>
      </c>
      <c r="B217" s="62" t="s">
        <v>209</v>
      </c>
      <c r="C217" s="73" t="s">
        <v>440</v>
      </c>
      <c r="D217" s="63" t="s">
        <v>439</v>
      </c>
      <c r="E217" s="66" t="s">
        <v>220</v>
      </c>
      <c r="F217" s="65">
        <v>169118.19</v>
      </c>
      <c r="G217" s="65">
        <v>96.65</v>
      </c>
      <c r="H217" s="65">
        <v>481.02</v>
      </c>
      <c r="I217" s="65">
        <v>169118.19</v>
      </c>
      <c r="J217" s="65">
        <v>96.65</v>
      </c>
      <c r="K217" s="65">
        <v>481.02</v>
      </c>
    </row>
    <row r="218" spans="1:11" ht="12.75">
      <c r="A218" s="61">
        <f t="shared" si="1"/>
        <v>12</v>
      </c>
      <c r="B218" s="62" t="s">
        <v>209</v>
      </c>
      <c r="C218" s="73" t="s">
        <v>440</v>
      </c>
      <c r="D218" s="63" t="s">
        <v>439</v>
      </c>
      <c r="E218" s="66" t="s">
        <v>221</v>
      </c>
      <c r="F218" s="65">
        <v>52833.41</v>
      </c>
      <c r="G218" s="65">
        <v>53.15</v>
      </c>
      <c r="H218" s="65">
        <v>196.24</v>
      </c>
      <c r="I218" s="65">
        <v>52833.41</v>
      </c>
      <c r="J218" s="65">
        <v>53.15</v>
      </c>
      <c r="K218" s="65">
        <v>196.24</v>
      </c>
    </row>
    <row r="219" spans="1:11" ht="12.75">
      <c r="A219" s="61">
        <f t="shared" si="1"/>
        <v>13</v>
      </c>
      <c r="B219" s="62" t="s">
        <v>209</v>
      </c>
      <c r="C219" s="73" t="s">
        <v>440</v>
      </c>
      <c r="D219" s="63" t="s">
        <v>439</v>
      </c>
      <c r="E219" s="66" t="s">
        <v>222</v>
      </c>
      <c r="F219" s="65">
        <v>75057.68</v>
      </c>
      <c r="G219" s="65">
        <v>66.88</v>
      </c>
      <c r="H219" s="65">
        <v>240.83</v>
      </c>
      <c r="I219" s="65">
        <v>75057.68</v>
      </c>
      <c r="J219" s="65">
        <v>66.88</v>
      </c>
      <c r="K219" s="65">
        <v>240.83</v>
      </c>
    </row>
    <row r="220" spans="1:11" ht="12.75">
      <c r="A220" s="61">
        <f t="shared" si="1"/>
        <v>14</v>
      </c>
      <c r="B220" s="62" t="s">
        <v>209</v>
      </c>
      <c r="C220" s="73" t="s">
        <v>440</v>
      </c>
      <c r="D220" s="63" t="s">
        <v>439</v>
      </c>
      <c r="E220" s="66" t="s">
        <v>223</v>
      </c>
      <c r="F220" s="65">
        <v>24598.27</v>
      </c>
      <c r="G220" s="65">
        <v>69.95</v>
      </c>
      <c r="H220" s="65">
        <v>136.2</v>
      </c>
      <c r="I220" s="65">
        <v>24598.27</v>
      </c>
      <c r="J220" s="65">
        <v>69.95</v>
      </c>
      <c r="K220" s="65">
        <v>136.2</v>
      </c>
    </row>
    <row r="221" spans="1:11" ht="12.75">
      <c r="A221" s="61">
        <f t="shared" si="1"/>
        <v>15</v>
      </c>
      <c r="B221" s="62" t="s">
        <v>209</v>
      </c>
      <c r="C221" s="73" t="s">
        <v>440</v>
      </c>
      <c r="D221" s="63" t="s">
        <v>439</v>
      </c>
      <c r="E221" s="66" t="s">
        <v>224</v>
      </c>
      <c r="F221" s="65">
        <v>95509.46</v>
      </c>
      <c r="G221" s="65">
        <v>83.08</v>
      </c>
      <c r="H221" s="65">
        <v>291.06</v>
      </c>
      <c r="I221" s="65">
        <v>95509.46</v>
      </c>
      <c r="J221" s="65">
        <v>83.08</v>
      </c>
      <c r="K221" s="65">
        <v>291.06</v>
      </c>
    </row>
    <row r="222" spans="1:11" ht="12.75">
      <c r="A222" s="61">
        <f t="shared" si="1"/>
        <v>16</v>
      </c>
      <c r="B222" s="62" t="s">
        <v>209</v>
      </c>
      <c r="C222" s="73" t="s">
        <v>440</v>
      </c>
      <c r="D222" s="63" t="s">
        <v>439</v>
      </c>
      <c r="E222" s="66" t="s">
        <v>225</v>
      </c>
      <c r="F222" s="65">
        <v>639429.47</v>
      </c>
      <c r="G222" s="65">
        <v>40.35</v>
      </c>
      <c r="H222" s="65">
        <v>1014.9</v>
      </c>
      <c r="I222" s="65">
        <v>639429.47</v>
      </c>
      <c r="J222" s="65">
        <v>40.35</v>
      </c>
      <c r="K222" s="65">
        <v>1014.9</v>
      </c>
    </row>
    <row r="223" spans="1:11" ht="12.75">
      <c r="A223" s="61">
        <f t="shared" si="1"/>
        <v>17</v>
      </c>
      <c r="B223" s="62" t="s">
        <v>209</v>
      </c>
      <c r="C223" s="73" t="s">
        <v>440</v>
      </c>
      <c r="D223" s="63" t="s">
        <v>439</v>
      </c>
      <c r="E223" s="66" t="s">
        <v>226</v>
      </c>
      <c r="F223" s="65">
        <v>42906.85</v>
      </c>
      <c r="G223" s="65">
        <v>141.23</v>
      </c>
      <c r="H223" s="65">
        <v>282</v>
      </c>
      <c r="I223" s="65">
        <v>42906.85</v>
      </c>
      <c r="J223" s="65">
        <v>141.23</v>
      </c>
      <c r="K223" s="65">
        <v>282</v>
      </c>
    </row>
    <row r="224" spans="1:11" ht="12.75">
      <c r="A224" s="61">
        <f t="shared" si="1"/>
        <v>18</v>
      </c>
      <c r="B224" s="62" t="s">
        <v>209</v>
      </c>
      <c r="C224" s="73" t="s">
        <v>440</v>
      </c>
      <c r="D224" s="63" t="s">
        <v>439</v>
      </c>
      <c r="E224" s="66" t="s">
        <v>227</v>
      </c>
      <c r="F224" s="65">
        <v>20186.35</v>
      </c>
      <c r="G224" s="65">
        <v>74.38</v>
      </c>
      <c r="H224" s="65">
        <v>116.8</v>
      </c>
      <c r="I224" s="65">
        <v>20186.35</v>
      </c>
      <c r="J224" s="65">
        <v>74.38</v>
      </c>
      <c r="K224" s="65">
        <v>116.8</v>
      </c>
    </row>
    <row r="225" spans="1:11" ht="12.75">
      <c r="A225" s="61">
        <f t="shared" si="1"/>
        <v>19</v>
      </c>
      <c r="B225" s="62" t="s">
        <v>209</v>
      </c>
      <c r="C225" s="73" t="s">
        <v>440</v>
      </c>
      <c r="D225" s="63" t="s">
        <v>439</v>
      </c>
      <c r="E225" s="66" t="s">
        <v>228</v>
      </c>
      <c r="F225" s="65">
        <v>122171.09</v>
      </c>
      <c r="G225" s="65">
        <v>151.48</v>
      </c>
      <c r="H225" s="65">
        <v>809.41</v>
      </c>
      <c r="I225" s="65">
        <v>122171.09</v>
      </c>
      <c r="J225" s="65">
        <v>151.48</v>
      </c>
      <c r="K225" s="65">
        <v>809.41</v>
      </c>
    </row>
    <row r="226" spans="1:11" ht="25.5">
      <c r="A226" s="61">
        <f t="shared" si="1"/>
        <v>20</v>
      </c>
      <c r="B226" s="62" t="s">
        <v>209</v>
      </c>
      <c r="C226" s="73" t="s">
        <v>440</v>
      </c>
      <c r="D226" s="63" t="s">
        <v>439</v>
      </c>
      <c r="E226" s="66" t="s">
        <v>229</v>
      </c>
      <c r="F226" s="65">
        <v>217010.88</v>
      </c>
      <c r="G226" s="65">
        <v>201.12</v>
      </c>
      <c r="H226" s="65">
        <v>747.76</v>
      </c>
      <c r="I226" s="65">
        <v>217010.88</v>
      </c>
      <c r="J226" s="65">
        <v>201.12</v>
      </c>
      <c r="K226" s="65">
        <v>747.76</v>
      </c>
    </row>
    <row r="227" spans="1:11" ht="12.75">
      <c r="A227" s="61">
        <f t="shared" si="1"/>
        <v>21</v>
      </c>
      <c r="B227" s="62" t="s">
        <v>209</v>
      </c>
      <c r="C227" s="73" t="s">
        <v>440</v>
      </c>
      <c r="D227" s="63" t="s">
        <v>439</v>
      </c>
      <c r="E227" s="66" t="s">
        <v>230</v>
      </c>
      <c r="F227" s="65">
        <v>178236.82</v>
      </c>
      <c r="G227" s="65">
        <v>110.6</v>
      </c>
      <c r="H227" s="65">
        <v>956.88</v>
      </c>
      <c r="I227" s="65">
        <v>178236.82</v>
      </c>
      <c r="J227" s="65">
        <v>110.6</v>
      </c>
      <c r="K227" s="65">
        <v>956.88</v>
      </c>
    </row>
    <row r="228" spans="1:11" ht="12.75">
      <c r="A228" s="61">
        <f t="shared" si="1"/>
        <v>22</v>
      </c>
      <c r="B228" s="62" t="s">
        <v>209</v>
      </c>
      <c r="C228" s="73" t="s">
        <v>440</v>
      </c>
      <c r="D228" s="63" t="s">
        <v>439</v>
      </c>
      <c r="E228" s="66" t="s">
        <v>231</v>
      </c>
      <c r="F228" s="65">
        <v>24128.21</v>
      </c>
      <c r="G228" s="65">
        <v>39.6</v>
      </c>
      <c r="H228" s="65">
        <v>86.47</v>
      </c>
      <c r="I228" s="65">
        <v>24128.21</v>
      </c>
      <c r="J228" s="65">
        <v>39.6</v>
      </c>
      <c r="K228" s="65">
        <v>86.47</v>
      </c>
    </row>
    <row r="229" spans="1:11" ht="12.75">
      <c r="A229" s="106" t="s">
        <v>386</v>
      </c>
      <c r="B229" s="107"/>
      <c r="C229" s="107"/>
      <c r="D229" s="107"/>
      <c r="E229" s="107"/>
      <c r="F229" s="107"/>
      <c r="G229" s="107"/>
      <c r="H229" s="107"/>
      <c r="I229" s="107"/>
      <c r="J229" s="107"/>
      <c r="K229" s="108"/>
    </row>
    <row r="230" spans="1:11" ht="25.5">
      <c r="A230" s="61">
        <v>1</v>
      </c>
      <c r="B230" s="62" t="s">
        <v>234</v>
      </c>
      <c r="C230" s="73" t="s">
        <v>235</v>
      </c>
      <c r="D230" s="63" t="s">
        <v>236</v>
      </c>
      <c r="E230" s="66" t="s">
        <v>237</v>
      </c>
      <c r="F230" s="65">
        <v>261708.503</v>
      </c>
      <c r="G230" s="65">
        <v>209.988</v>
      </c>
      <c r="H230" s="65">
        <v>717.547</v>
      </c>
      <c r="I230" s="65">
        <v>264831.063</v>
      </c>
      <c r="J230" s="65">
        <v>241.114</v>
      </c>
      <c r="K230" s="65">
        <v>735.893</v>
      </c>
    </row>
    <row r="231" spans="1:11" ht="25.5">
      <c r="A231" s="61">
        <v>2</v>
      </c>
      <c r="B231" s="62" t="s">
        <v>234</v>
      </c>
      <c r="C231" s="73" t="s">
        <v>235</v>
      </c>
      <c r="D231" s="63" t="s">
        <v>236</v>
      </c>
      <c r="E231" s="64" t="s">
        <v>238</v>
      </c>
      <c r="F231" s="65">
        <v>133219.805</v>
      </c>
      <c r="G231" s="65">
        <v>34.197</v>
      </c>
      <c r="H231" s="65">
        <v>305.513</v>
      </c>
      <c r="I231" s="65">
        <v>137159.894</v>
      </c>
      <c r="J231" s="65">
        <v>43.274</v>
      </c>
      <c r="K231" s="65">
        <v>322.518</v>
      </c>
    </row>
    <row r="232" spans="1:11" ht="51">
      <c r="A232" s="61">
        <v>3</v>
      </c>
      <c r="B232" s="62" t="s">
        <v>234</v>
      </c>
      <c r="C232" s="73" t="s">
        <v>235</v>
      </c>
      <c r="D232" s="63" t="s">
        <v>236</v>
      </c>
      <c r="E232" s="64" t="s">
        <v>239</v>
      </c>
      <c r="F232" s="65">
        <v>78069.356</v>
      </c>
      <c r="G232" s="65">
        <v>100.534</v>
      </c>
      <c r="H232" s="65">
        <v>269.297</v>
      </c>
      <c r="I232" s="65">
        <v>78571.24</v>
      </c>
      <c r="J232" s="65">
        <v>98.506</v>
      </c>
      <c r="K232" s="65">
        <v>263.316</v>
      </c>
    </row>
    <row r="233" spans="1:11" ht="38.25">
      <c r="A233" s="61">
        <v>4</v>
      </c>
      <c r="B233" s="62" t="s">
        <v>234</v>
      </c>
      <c r="C233" s="73" t="s">
        <v>235</v>
      </c>
      <c r="D233" s="63" t="s">
        <v>236</v>
      </c>
      <c r="E233" s="64" t="s">
        <v>240</v>
      </c>
      <c r="F233" s="65">
        <v>332478.581</v>
      </c>
      <c r="G233" s="65">
        <v>19.209</v>
      </c>
      <c r="H233" s="65">
        <v>797.543</v>
      </c>
      <c r="I233" s="65">
        <v>333046.072</v>
      </c>
      <c r="J233" s="65">
        <v>26.57</v>
      </c>
      <c r="K233" s="65">
        <v>658.988</v>
      </c>
    </row>
    <row r="234" spans="1:11" ht="25.5">
      <c r="A234" s="61">
        <v>5</v>
      </c>
      <c r="B234" s="62" t="s">
        <v>234</v>
      </c>
      <c r="C234" s="73" t="s">
        <v>235</v>
      </c>
      <c r="D234" s="63" t="s">
        <v>236</v>
      </c>
      <c r="E234" s="64" t="s">
        <v>241</v>
      </c>
      <c r="F234" s="65">
        <v>27009.484</v>
      </c>
      <c r="G234" s="65">
        <v>30.106</v>
      </c>
      <c r="H234" s="65">
        <v>95.968</v>
      </c>
      <c r="I234" s="65">
        <v>27009.484</v>
      </c>
      <c r="J234" s="65">
        <v>31.724</v>
      </c>
      <c r="K234" s="65">
        <v>93.057</v>
      </c>
    </row>
    <row r="235" spans="1:11" ht="25.5">
      <c r="A235" s="61">
        <v>6</v>
      </c>
      <c r="B235" s="62" t="s">
        <v>234</v>
      </c>
      <c r="C235" s="73" t="s">
        <v>235</v>
      </c>
      <c r="D235" s="63" t="s">
        <v>236</v>
      </c>
      <c r="E235" s="64" t="s">
        <v>242</v>
      </c>
      <c r="F235" s="65">
        <v>18242.008</v>
      </c>
      <c r="G235" s="65">
        <v>25.976</v>
      </c>
      <c r="H235" s="65">
        <v>79.212</v>
      </c>
      <c r="I235" s="65">
        <v>18242.008</v>
      </c>
      <c r="J235" s="65">
        <v>28.685</v>
      </c>
      <c r="K235" s="65">
        <v>81.106</v>
      </c>
    </row>
    <row r="236" spans="1:11" ht="25.5">
      <c r="A236" s="61">
        <v>7</v>
      </c>
      <c r="B236" s="62" t="s">
        <v>234</v>
      </c>
      <c r="C236" s="73" t="s">
        <v>235</v>
      </c>
      <c r="D236" s="63" t="s">
        <v>236</v>
      </c>
      <c r="E236" s="64" t="s">
        <v>243</v>
      </c>
      <c r="F236" s="65">
        <v>55506.716</v>
      </c>
      <c r="G236" s="65">
        <v>158.665</v>
      </c>
      <c r="H236" s="65">
        <v>409.079</v>
      </c>
      <c r="I236" s="65">
        <v>55506.716</v>
      </c>
      <c r="J236" s="65">
        <v>176.968</v>
      </c>
      <c r="K236" s="65">
        <v>427.381</v>
      </c>
    </row>
    <row r="237" spans="1:11" ht="25.5">
      <c r="A237" s="61">
        <v>8</v>
      </c>
      <c r="B237" s="62" t="s">
        <v>234</v>
      </c>
      <c r="C237" s="73" t="s">
        <v>235</v>
      </c>
      <c r="D237" s="63" t="s">
        <v>236</v>
      </c>
      <c r="E237" s="64" t="s">
        <v>244</v>
      </c>
      <c r="F237" s="65">
        <v>62305.619</v>
      </c>
      <c r="G237" s="65">
        <v>15.74</v>
      </c>
      <c r="H237" s="65">
        <v>317.065</v>
      </c>
      <c r="I237" s="65">
        <v>62305.619</v>
      </c>
      <c r="J237" s="65">
        <v>17.43</v>
      </c>
      <c r="K237" s="65">
        <v>318.735</v>
      </c>
    </row>
    <row r="238" spans="1:11" ht="25.5">
      <c r="A238" s="61">
        <v>9</v>
      </c>
      <c r="B238" s="62" t="s">
        <v>234</v>
      </c>
      <c r="C238" s="73" t="s">
        <v>235</v>
      </c>
      <c r="D238" s="63" t="s">
        <v>236</v>
      </c>
      <c r="E238" s="64" t="s">
        <v>245</v>
      </c>
      <c r="F238" s="65">
        <v>239831.841</v>
      </c>
      <c r="G238" s="65">
        <v>66.536</v>
      </c>
      <c r="H238" s="65">
        <v>1018.003</v>
      </c>
      <c r="I238" s="65">
        <v>217960.532</v>
      </c>
      <c r="J238" s="65">
        <v>70.86</v>
      </c>
      <c r="K238" s="65">
        <v>963.169</v>
      </c>
    </row>
    <row r="239" spans="1:11" ht="25.5">
      <c r="A239" s="61">
        <v>10</v>
      </c>
      <c r="B239" s="62" t="s">
        <v>234</v>
      </c>
      <c r="C239" s="73" t="s">
        <v>235</v>
      </c>
      <c r="D239" s="63" t="s">
        <v>236</v>
      </c>
      <c r="E239" s="64" t="s">
        <v>246</v>
      </c>
      <c r="F239" s="65">
        <v>20790.391</v>
      </c>
      <c r="G239" s="65">
        <v>21.498</v>
      </c>
      <c r="H239" s="65">
        <v>49.612</v>
      </c>
      <c r="I239" s="65">
        <v>17693.95</v>
      </c>
      <c r="J239" s="65">
        <v>24.087</v>
      </c>
      <c r="K239" s="65">
        <v>48.553</v>
      </c>
    </row>
    <row r="240" spans="1:11" ht="25.5">
      <c r="A240" s="61">
        <v>11</v>
      </c>
      <c r="B240" s="62" t="s">
        <v>234</v>
      </c>
      <c r="C240" s="73" t="s">
        <v>235</v>
      </c>
      <c r="D240" s="63" t="s">
        <v>236</v>
      </c>
      <c r="E240" s="64" t="s">
        <v>247</v>
      </c>
      <c r="F240" s="65">
        <v>27358.632</v>
      </c>
      <c r="G240" s="65">
        <v>66.437</v>
      </c>
      <c r="H240" s="65">
        <v>203.185</v>
      </c>
      <c r="I240" s="65">
        <v>27358.632</v>
      </c>
      <c r="J240" s="65">
        <v>74.101</v>
      </c>
      <c r="K240" s="65">
        <v>210.848</v>
      </c>
    </row>
    <row r="241" spans="1:11" ht="25.5">
      <c r="A241" s="61">
        <v>12</v>
      </c>
      <c r="B241" s="62" t="s">
        <v>234</v>
      </c>
      <c r="C241" s="73" t="s">
        <v>235</v>
      </c>
      <c r="D241" s="63" t="s">
        <v>236</v>
      </c>
      <c r="E241" s="64" t="s">
        <v>248</v>
      </c>
      <c r="F241" s="65">
        <v>38936.354</v>
      </c>
      <c r="G241" s="65">
        <v>91.11</v>
      </c>
      <c r="H241" s="65">
        <v>332.322</v>
      </c>
      <c r="I241" s="65">
        <v>40657.575</v>
      </c>
      <c r="J241" s="65">
        <v>101.121</v>
      </c>
      <c r="K241" s="65">
        <v>336.809</v>
      </c>
    </row>
    <row r="242" spans="1:11" ht="25.5">
      <c r="A242" s="61">
        <v>13</v>
      </c>
      <c r="B242" s="62" t="s">
        <v>234</v>
      </c>
      <c r="C242" s="73" t="s">
        <v>235</v>
      </c>
      <c r="D242" s="63" t="s">
        <v>236</v>
      </c>
      <c r="E242" s="64" t="s">
        <v>249</v>
      </c>
      <c r="F242" s="65">
        <v>125053.773</v>
      </c>
      <c r="G242" s="65">
        <v>53.061</v>
      </c>
      <c r="H242" s="65">
        <v>914.731</v>
      </c>
      <c r="I242" s="65">
        <v>125053.773</v>
      </c>
      <c r="J242" s="65">
        <v>59.182</v>
      </c>
      <c r="K242" s="65">
        <v>920.852</v>
      </c>
    </row>
    <row r="243" spans="1:11" ht="25.5">
      <c r="A243" s="61">
        <v>14</v>
      </c>
      <c r="B243" s="62" t="s">
        <v>234</v>
      </c>
      <c r="C243" s="73" t="s">
        <v>235</v>
      </c>
      <c r="D243" s="63" t="s">
        <v>236</v>
      </c>
      <c r="E243" s="64" t="s">
        <v>250</v>
      </c>
      <c r="F243" s="65">
        <v>120268.32</v>
      </c>
      <c r="G243" s="65">
        <v>102.934</v>
      </c>
      <c r="H243" s="65">
        <v>1112.238</v>
      </c>
      <c r="I243" s="65">
        <v>120268.32</v>
      </c>
      <c r="J243" s="65">
        <v>114.807</v>
      </c>
      <c r="K243" s="65">
        <v>869.859</v>
      </c>
    </row>
    <row r="244" spans="1:11" ht="25.5">
      <c r="A244" s="61">
        <v>15</v>
      </c>
      <c r="B244" s="62" t="s">
        <v>234</v>
      </c>
      <c r="C244" s="73" t="s">
        <v>235</v>
      </c>
      <c r="D244" s="63" t="s">
        <v>236</v>
      </c>
      <c r="E244" s="64" t="s">
        <v>251</v>
      </c>
      <c r="F244" s="65">
        <v>107377.172</v>
      </c>
      <c r="G244" s="65">
        <v>85.09</v>
      </c>
      <c r="H244" s="65">
        <v>743.258</v>
      </c>
      <c r="I244" s="65">
        <v>107377.172</v>
      </c>
      <c r="J244" s="65">
        <v>85.884</v>
      </c>
      <c r="K244" s="65">
        <v>741.053</v>
      </c>
    </row>
    <row r="245" spans="1:11" ht="38.25">
      <c r="A245" s="61">
        <v>16</v>
      </c>
      <c r="B245" s="62" t="s">
        <v>234</v>
      </c>
      <c r="C245" s="73" t="s">
        <v>235</v>
      </c>
      <c r="D245" s="63" t="s">
        <v>236</v>
      </c>
      <c r="E245" s="64" t="s">
        <v>252</v>
      </c>
      <c r="F245" s="65">
        <v>235803.689</v>
      </c>
      <c r="G245" s="65">
        <v>176.476</v>
      </c>
      <c r="H245" s="65">
        <v>819.869</v>
      </c>
      <c r="I245" s="65">
        <v>275942.917</v>
      </c>
      <c r="J245" s="65">
        <v>196.967</v>
      </c>
      <c r="K245" s="65">
        <v>948.44</v>
      </c>
    </row>
    <row r="246" spans="1:11" ht="25.5">
      <c r="A246" s="61">
        <v>17</v>
      </c>
      <c r="B246" s="62" t="s">
        <v>253</v>
      </c>
      <c r="C246" s="73" t="s">
        <v>235</v>
      </c>
      <c r="D246" s="63" t="s">
        <v>236</v>
      </c>
      <c r="E246" s="64" t="s">
        <v>254</v>
      </c>
      <c r="F246" s="65">
        <v>103857.29999999999</v>
      </c>
      <c r="G246" s="65">
        <v>93.75</v>
      </c>
      <c r="H246" s="65">
        <v>332.78999999999996</v>
      </c>
      <c r="I246" s="65">
        <v>103857.29999999999</v>
      </c>
      <c r="J246" s="65">
        <v>104.56</v>
      </c>
      <c r="K246" s="65">
        <v>343.61</v>
      </c>
    </row>
    <row r="247" spans="1:11" ht="38.25">
      <c r="A247" s="61">
        <v>18</v>
      </c>
      <c r="B247" s="62" t="s">
        <v>441</v>
      </c>
      <c r="C247" s="73" t="s">
        <v>442</v>
      </c>
      <c r="D247" s="63" t="s">
        <v>236</v>
      </c>
      <c r="E247" s="64" t="s">
        <v>443</v>
      </c>
      <c r="F247" s="65">
        <v>148423.172</v>
      </c>
      <c r="G247" s="65">
        <v>58.824</v>
      </c>
      <c r="H247" s="65">
        <v>673.269</v>
      </c>
      <c r="I247" s="65">
        <v>148423.172</v>
      </c>
      <c r="J247" s="65">
        <v>65.61</v>
      </c>
      <c r="K247" s="65">
        <v>680.054</v>
      </c>
    </row>
    <row r="248" spans="1:11" ht="25.5">
      <c r="A248" s="61">
        <v>19</v>
      </c>
      <c r="B248" s="62" t="s">
        <v>511</v>
      </c>
      <c r="C248" s="73" t="s">
        <v>512</v>
      </c>
      <c r="D248" s="63" t="s">
        <v>236</v>
      </c>
      <c r="E248" s="64" t="s">
        <v>513</v>
      </c>
      <c r="F248" s="65">
        <v>38936.354</v>
      </c>
      <c r="G248" s="65">
        <v>91.11</v>
      </c>
      <c r="H248" s="65">
        <v>332.322</v>
      </c>
      <c r="I248" s="65">
        <v>40657.575</v>
      </c>
      <c r="J248" s="65">
        <v>101.121</v>
      </c>
      <c r="K248" s="65">
        <v>336.809</v>
      </c>
    </row>
    <row r="249" spans="1:11" ht="25.5">
      <c r="A249" s="61">
        <v>20</v>
      </c>
      <c r="B249" s="62" t="s">
        <v>514</v>
      </c>
      <c r="C249" s="73" t="s">
        <v>515</v>
      </c>
      <c r="D249" s="63" t="s">
        <v>236</v>
      </c>
      <c r="E249" s="64" t="s">
        <v>251</v>
      </c>
      <c r="F249" s="138" t="s">
        <v>534</v>
      </c>
      <c r="G249" s="139"/>
      <c r="H249" s="139"/>
      <c r="I249" s="139"/>
      <c r="J249" s="139"/>
      <c r="K249" s="140"/>
    </row>
    <row r="250" spans="1:11" ht="12.75">
      <c r="A250" s="106" t="s">
        <v>387</v>
      </c>
      <c r="B250" s="107"/>
      <c r="C250" s="107"/>
      <c r="D250" s="107"/>
      <c r="E250" s="107"/>
      <c r="F250" s="107"/>
      <c r="G250" s="107"/>
      <c r="H250" s="107"/>
      <c r="I250" s="107"/>
      <c r="J250" s="107"/>
      <c r="K250" s="108"/>
    </row>
    <row r="251" spans="1:11" ht="25.5">
      <c r="A251" s="61">
        <v>1</v>
      </c>
      <c r="B251" s="62" t="s">
        <v>260</v>
      </c>
      <c r="C251" s="73" t="s">
        <v>516</v>
      </c>
      <c r="D251" s="147" t="s">
        <v>261</v>
      </c>
      <c r="E251" s="64" t="s">
        <v>535</v>
      </c>
      <c r="F251" s="65">
        <f>34.09379*1000</f>
        <v>34093.79</v>
      </c>
      <c r="G251" s="65">
        <f>0.02023*1000</f>
        <v>20.23</v>
      </c>
      <c r="H251" s="65">
        <f>0.09998*1000</f>
        <v>99.98</v>
      </c>
      <c r="I251" s="65">
        <f>34.09379*1000</f>
        <v>34093.79</v>
      </c>
      <c r="J251" s="65">
        <f>0.02023*1000</f>
        <v>20.23</v>
      </c>
      <c r="K251" s="65">
        <f>0.09998*1000</f>
        <v>99.98</v>
      </c>
    </row>
    <row r="252" spans="1:11" ht="12.75">
      <c r="A252" s="61">
        <v>2</v>
      </c>
      <c r="B252" s="62" t="s">
        <v>260</v>
      </c>
      <c r="C252" s="73" t="s">
        <v>516</v>
      </c>
      <c r="D252" s="148"/>
      <c r="E252" s="64" t="s">
        <v>536</v>
      </c>
      <c r="F252" s="65">
        <f>17.5099*1000</f>
        <v>17509.899999999998</v>
      </c>
      <c r="G252" s="65">
        <f>0.03076*1000</f>
        <v>30.759999999999998</v>
      </c>
      <c r="H252" s="65">
        <f>0.07507*1000</f>
        <v>75.07</v>
      </c>
      <c r="I252" s="65">
        <f>17.5099*1000</f>
        <v>17509.899999999998</v>
      </c>
      <c r="J252" s="65">
        <f>0.03076*1000</f>
        <v>30.759999999999998</v>
      </c>
      <c r="K252" s="65">
        <f>0.07507*1000</f>
        <v>75.07</v>
      </c>
    </row>
    <row r="253" spans="1:11" ht="12.75">
      <c r="A253" s="61">
        <v>3</v>
      </c>
      <c r="B253" s="62" t="s">
        <v>260</v>
      </c>
      <c r="C253" s="73" t="s">
        <v>516</v>
      </c>
      <c r="D253" s="148"/>
      <c r="E253" s="64" t="s">
        <v>537</v>
      </c>
      <c r="F253" s="65">
        <f>105.61395*1000</f>
        <v>105613.95</v>
      </c>
      <c r="G253" s="65">
        <f>0.03682*1000</f>
        <v>36.82</v>
      </c>
      <c r="H253" s="65">
        <f>0.26735*1000</f>
        <v>267.34999999999997</v>
      </c>
      <c r="I253" s="65">
        <f>105.61395*1000</f>
        <v>105613.95</v>
      </c>
      <c r="J253" s="65">
        <f>0.03682*1000</f>
        <v>36.82</v>
      </c>
      <c r="K253" s="65">
        <f>0.26735*1000</f>
        <v>267.34999999999997</v>
      </c>
    </row>
    <row r="254" spans="1:11" ht="25.5">
      <c r="A254" s="61">
        <v>4</v>
      </c>
      <c r="B254" s="62" t="s">
        <v>260</v>
      </c>
      <c r="C254" s="73" t="s">
        <v>516</v>
      </c>
      <c r="D254" s="148"/>
      <c r="E254" s="64" t="s">
        <v>538</v>
      </c>
      <c r="F254" s="65">
        <f>240.82947*1000</f>
        <v>240829.46999999997</v>
      </c>
      <c r="G254" s="65">
        <f>0.06362*1000</f>
        <v>63.62</v>
      </c>
      <c r="H254" s="65">
        <f>0.6651*1000</f>
        <v>665.1</v>
      </c>
      <c r="I254" s="65">
        <f>253.39517*1000</f>
        <v>253395.17</v>
      </c>
      <c r="J254" s="65">
        <f>0.06358*1000</f>
        <v>63.58</v>
      </c>
      <c r="K254" s="65">
        <f>0.68818*1000</f>
        <v>688.1800000000001</v>
      </c>
    </row>
    <row r="255" spans="1:11" ht="25.5">
      <c r="A255" s="61">
        <v>5</v>
      </c>
      <c r="B255" s="62" t="s">
        <v>260</v>
      </c>
      <c r="C255" s="73" t="s">
        <v>516</v>
      </c>
      <c r="D255" s="148"/>
      <c r="E255" s="64" t="s">
        <v>539</v>
      </c>
      <c r="F255" s="65">
        <f>32.76212*1000</f>
        <v>32762.120000000003</v>
      </c>
      <c r="G255" s="65">
        <f>0.02702*1000</f>
        <v>27.02</v>
      </c>
      <c r="H255" s="65">
        <f>0.8731*1000</f>
        <v>873.1</v>
      </c>
      <c r="I255" s="65">
        <f>32.76212*1000</f>
        <v>32762.120000000003</v>
      </c>
      <c r="J255" s="65">
        <f>0.02702*1000</f>
        <v>27.02</v>
      </c>
      <c r="K255" s="65">
        <f>0.8731*1000</f>
        <v>873.1</v>
      </c>
    </row>
    <row r="256" spans="1:11" ht="38.25">
      <c r="A256" s="61">
        <v>6</v>
      </c>
      <c r="B256" s="62" t="s">
        <v>260</v>
      </c>
      <c r="C256" s="73" t="s">
        <v>516</v>
      </c>
      <c r="D256" s="148"/>
      <c r="E256" s="64" t="s">
        <v>540</v>
      </c>
      <c r="F256" s="65">
        <f>305.00165*1000</f>
        <v>305001.64999999997</v>
      </c>
      <c r="G256" s="65">
        <f>0.1127*1000</f>
        <v>112.69999999999999</v>
      </c>
      <c r="H256" s="65">
        <f>0.73029*1000</f>
        <v>730.29</v>
      </c>
      <c r="I256" s="65">
        <f>308.89339*1000</f>
        <v>308893.39</v>
      </c>
      <c r="J256" s="65">
        <f>0.1127*1000</f>
        <v>112.69999999999999</v>
      </c>
      <c r="K256" s="65">
        <f>0.73034*1000</f>
        <v>730.34</v>
      </c>
    </row>
    <row r="257" spans="1:11" ht="12.75">
      <c r="A257" s="61">
        <v>7</v>
      </c>
      <c r="B257" s="62" t="s">
        <v>260</v>
      </c>
      <c r="C257" s="73" t="s">
        <v>516</v>
      </c>
      <c r="D257" s="148"/>
      <c r="E257" s="64" t="s">
        <v>541</v>
      </c>
      <c r="F257" s="65">
        <f>92.07311*1000</f>
        <v>92073.11</v>
      </c>
      <c r="G257" s="65">
        <f>0.03411*1000</f>
        <v>34.11</v>
      </c>
      <c r="H257" s="65">
        <f>0.67377*1000</f>
        <v>673.77</v>
      </c>
      <c r="I257" s="65">
        <f>92.07311*1000</f>
        <v>92073.11</v>
      </c>
      <c r="J257" s="65">
        <f>0.03411*1000</f>
        <v>34.11</v>
      </c>
      <c r="K257" s="65">
        <f>0.67377*1000</f>
        <v>673.77</v>
      </c>
    </row>
    <row r="258" spans="1:11" ht="12.75">
      <c r="A258" s="61">
        <v>8</v>
      </c>
      <c r="B258" s="62" t="s">
        <v>260</v>
      </c>
      <c r="C258" s="73" t="s">
        <v>516</v>
      </c>
      <c r="D258" s="148"/>
      <c r="E258" s="64" t="s">
        <v>542</v>
      </c>
      <c r="F258" s="65">
        <f>50.9884*1000</f>
        <v>50988.4</v>
      </c>
      <c r="G258" s="65">
        <f>0.08218*1000</f>
        <v>82.18</v>
      </c>
      <c r="H258" s="65">
        <f>0.20454*1000</f>
        <v>204.54</v>
      </c>
      <c r="I258" s="65">
        <f>50.9884*1000</f>
        <v>50988.4</v>
      </c>
      <c r="J258" s="65">
        <f>0.08218*1000</f>
        <v>82.18</v>
      </c>
      <c r="K258" s="65">
        <f>0.20454*1000</f>
        <v>204.54</v>
      </c>
    </row>
    <row r="259" spans="1:11" ht="25.5">
      <c r="A259" s="61">
        <v>9</v>
      </c>
      <c r="B259" s="62" t="s">
        <v>260</v>
      </c>
      <c r="C259" s="73" t="s">
        <v>516</v>
      </c>
      <c r="D259" s="148"/>
      <c r="E259" s="64" t="s">
        <v>543</v>
      </c>
      <c r="F259" s="65">
        <f>74.84107*1000</f>
        <v>74841.07</v>
      </c>
      <c r="G259" s="65">
        <f>0.11159*1000</f>
        <v>111.58999999999999</v>
      </c>
      <c r="H259" s="65">
        <f>0.28081*1000</f>
        <v>280.81</v>
      </c>
      <c r="I259" s="65">
        <f>74.84107*1000</f>
        <v>74841.07</v>
      </c>
      <c r="J259" s="65">
        <f>0.11159*1000</f>
        <v>111.58999999999999</v>
      </c>
      <c r="K259" s="65">
        <f>0.28081*1000</f>
        <v>280.81</v>
      </c>
    </row>
    <row r="260" spans="1:11" ht="12.75">
      <c r="A260" s="61">
        <v>10</v>
      </c>
      <c r="B260" s="62" t="s">
        <v>260</v>
      </c>
      <c r="C260" s="73" t="s">
        <v>516</v>
      </c>
      <c r="D260" s="148"/>
      <c r="E260" s="64" t="s">
        <v>544</v>
      </c>
      <c r="F260" s="65">
        <f>219.40952*1000</f>
        <v>219409.52</v>
      </c>
      <c r="G260" s="65">
        <f>0.06663*1000</f>
        <v>66.63</v>
      </c>
      <c r="H260" s="65">
        <f>0.72486*1000</f>
        <v>724.8599999999999</v>
      </c>
      <c r="I260" s="65">
        <f>233.39048*1000</f>
        <v>233390.48</v>
      </c>
      <c r="J260" s="65">
        <f>0.06663*1000</f>
        <v>66.63</v>
      </c>
      <c r="K260" s="65">
        <f>0.7668*1000</f>
        <v>766.8000000000001</v>
      </c>
    </row>
    <row r="261" spans="1:11" ht="25.5">
      <c r="A261" s="61">
        <v>11</v>
      </c>
      <c r="B261" s="62" t="s">
        <v>260</v>
      </c>
      <c r="C261" s="73" t="s">
        <v>516</v>
      </c>
      <c r="D261" s="148"/>
      <c r="E261" s="64" t="s">
        <v>545</v>
      </c>
      <c r="F261" s="87">
        <f>327.56667*1000</f>
        <v>327566.67</v>
      </c>
      <c r="G261" s="65">
        <f>0.00444*1000</f>
        <v>4.44</v>
      </c>
      <c r="H261" s="65">
        <f>1.09633*1000</f>
        <v>1096.33</v>
      </c>
      <c r="I261" s="65">
        <f>327.56667*1000</f>
        <v>327566.67</v>
      </c>
      <c r="J261" s="65">
        <f>0.00444*1000</f>
        <v>4.44</v>
      </c>
      <c r="K261" s="65">
        <f>1.09633*1000</f>
        <v>1096.33</v>
      </c>
    </row>
    <row r="262" spans="1:11" ht="25.5">
      <c r="A262" s="61">
        <v>12</v>
      </c>
      <c r="B262" s="62" t="s">
        <v>260</v>
      </c>
      <c r="C262" s="73" t="s">
        <v>516</v>
      </c>
      <c r="D262" s="148"/>
      <c r="E262" s="64" t="s">
        <v>546</v>
      </c>
      <c r="F262" s="65">
        <f>24.25274*1000</f>
        <v>24252.739999999998</v>
      </c>
      <c r="G262" s="65">
        <f>0.01981*1000</f>
        <v>19.810000000000002</v>
      </c>
      <c r="H262" s="65">
        <f>0.06133*1000</f>
        <v>61.330000000000005</v>
      </c>
      <c r="I262" s="65">
        <f>24.25274*1000</f>
        <v>24252.739999999998</v>
      </c>
      <c r="J262" s="65">
        <f>0.01981*1000</f>
        <v>19.810000000000002</v>
      </c>
      <c r="K262" s="65">
        <f>0.06133*1000</f>
        <v>61.330000000000005</v>
      </c>
    </row>
    <row r="263" spans="1:11" ht="25.5">
      <c r="A263" s="61">
        <v>13</v>
      </c>
      <c r="B263" s="62" t="s">
        <v>260</v>
      </c>
      <c r="C263" s="73" t="s">
        <v>516</v>
      </c>
      <c r="D263" s="148"/>
      <c r="E263" s="64" t="s">
        <v>547</v>
      </c>
      <c r="F263" s="65">
        <f>155.96101*1000</f>
        <v>155961.00999999998</v>
      </c>
      <c r="G263" s="65">
        <f>0.08702*1000</f>
        <v>87.02</v>
      </c>
      <c r="H263" s="65">
        <f>0.5228*1000</f>
        <v>522.8000000000001</v>
      </c>
      <c r="I263" s="65">
        <f>146.02242*1000</f>
        <v>146022.42</v>
      </c>
      <c r="J263" s="65">
        <f>0.08693*1000</f>
        <v>86.92999999999999</v>
      </c>
      <c r="K263" s="65">
        <f>0.5227*1000</f>
        <v>522.7</v>
      </c>
    </row>
    <row r="264" spans="1:11" ht="12.75">
      <c r="A264" s="61">
        <v>14</v>
      </c>
      <c r="B264" s="62" t="s">
        <v>260</v>
      </c>
      <c r="C264" s="73" t="s">
        <v>516</v>
      </c>
      <c r="D264" s="148"/>
      <c r="E264" s="64" t="s">
        <v>548</v>
      </c>
      <c r="F264" s="65">
        <f>172.71026*1000</f>
        <v>172710.26</v>
      </c>
      <c r="G264" s="65">
        <f>0.04861*1000</f>
        <v>48.61</v>
      </c>
      <c r="H264" s="65">
        <f>0.31275*1000</f>
        <v>312.75</v>
      </c>
      <c r="I264" s="65">
        <f>172.71026*1000</f>
        <v>172710.26</v>
      </c>
      <c r="J264" s="65">
        <f>0.04861*1000</f>
        <v>48.61</v>
      </c>
      <c r="K264" s="65">
        <f>0.31275*1000</f>
        <v>312.75</v>
      </c>
    </row>
    <row r="265" spans="1:11" ht="12.75">
      <c r="A265" s="61">
        <v>15</v>
      </c>
      <c r="B265" s="62" t="s">
        <v>260</v>
      </c>
      <c r="C265" s="73" t="s">
        <v>516</v>
      </c>
      <c r="D265" s="148"/>
      <c r="E265" s="64" t="s">
        <v>549</v>
      </c>
      <c r="F265" s="65">
        <f>74.54829*1000</f>
        <v>74548.29</v>
      </c>
      <c r="G265" s="65">
        <f>0.04727*1000</f>
        <v>47.269999999999996</v>
      </c>
      <c r="H265" s="65">
        <f>0.46994*1000</f>
        <v>469.94</v>
      </c>
      <c r="I265" s="65">
        <f>79.29385*1000</f>
        <v>79293.85</v>
      </c>
      <c r="J265" s="65">
        <f>0.04727*1000</f>
        <v>47.269999999999996</v>
      </c>
      <c r="K265" s="65">
        <f>0.49685*1000</f>
        <v>496.85</v>
      </c>
    </row>
    <row r="266" spans="1:11" ht="25.5">
      <c r="A266" s="61">
        <v>16</v>
      </c>
      <c r="B266" s="62" t="s">
        <v>260</v>
      </c>
      <c r="C266" s="73" t="s">
        <v>516</v>
      </c>
      <c r="D266" s="148"/>
      <c r="E266" s="64" t="s">
        <v>550</v>
      </c>
      <c r="F266" s="65">
        <f>544.0113*1000</f>
        <v>544011.3</v>
      </c>
      <c r="G266" s="65">
        <f>0.15768*1000</f>
        <v>157.67999999999998</v>
      </c>
      <c r="H266" s="65">
        <f>1.46264*1000</f>
        <v>1462.6399999999999</v>
      </c>
      <c r="I266" s="65">
        <f>524.75419*1000</f>
        <v>524754.19</v>
      </c>
      <c r="J266" s="65">
        <f>0.15768*1000</f>
        <v>157.67999999999998</v>
      </c>
      <c r="K266" s="65">
        <f>1.46264*1000</f>
        <v>1462.6399999999999</v>
      </c>
    </row>
    <row r="267" spans="1:11" ht="12.75">
      <c r="A267" s="61">
        <v>17</v>
      </c>
      <c r="B267" s="62" t="s">
        <v>260</v>
      </c>
      <c r="C267" s="73" t="s">
        <v>516</v>
      </c>
      <c r="D267" s="148"/>
      <c r="E267" s="64" t="s">
        <v>551</v>
      </c>
      <c r="F267" s="65">
        <f>109.79327*1000</f>
        <v>109793.27</v>
      </c>
      <c r="G267" s="65">
        <f>0.07804*1000</f>
        <v>78.03999999999999</v>
      </c>
      <c r="H267" s="65">
        <f>0.36754*1000</f>
        <v>367.53999999999996</v>
      </c>
      <c r="I267" s="65">
        <f>109.79327*1000</f>
        <v>109793.27</v>
      </c>
      <c r="J267" s="65">
        <f>0.07804*1000</f>
        <v>78.03999999999999</v>
      </c>
      <c r="K267" s="65">
        <f>0.36754*1000</f>
        <v>367.53999999999996</v>
      </c>
    </row>
    <row r="268" spans="1:11" ht="12.75">
      <c r="A268" s="61">
        <v>18</v>
      </c>
      <c r="B268" s="62" t="s">
        <v>260</v>
      </c>
      <c r="C268" s="73" t="s">
        <v>516</v>
      </c>
      <c r="D268" s="148"/>
      <c r="E268" s="64" t="s">
        <v>552</v>
      </c>
      <c r="F268" s="65">
        <f>580.29565*1000</f>
        <v>580295.65</v>
      </c>
      <c r="G268" s="65">
        <f>0.19465*1000</f>
        <v>194.64999999999998</v>
      </c>
      <c r="H268" s="65">
        <f>1.22056*1000</f>
        <v>1220.5600000000002</v>
      </c>
      <c r="I268" s="65">
        <f>581.6524*1000</f>
        <v>581652.3999999999</v>
      </c>
      <c r="J268" s="65">
        <f>0.19465*1000</f>
        <v>194.64999999999998</v>
      </c>
      <c r="K268" s="65">
        <f>1.22056*1000</f>
        <v>1220.5600000000002</v>
      </c>
    </row>
    <row r="269" spans="1:11" ht="12.75">
      <c r="A269" s="61">
        <v>19</v>
      </c>
      <c r="B269" s="62" t="s">
        <v>260</v>
      </c>
      <c r="C269" s="73" t="s">
        <v>516</v>
      </c>
      <c r="D269" s="148"/>
      <c r="E269" s="64" t="s">
        <v>553</v>
      </c>
      <c r="F269" s="65">
        <f>23.93968*1000</f>
        <v>23939.68</v>
      </c>
      <c r="G269" s="65">
        <f>0.04053*1000</f>
        <v>40.529999999999994</v>
      </c>
      <c r="H269" s="65">
        <f>0.20182*1000</f>
        <v>201.82</v>
      </c>
      <c r="I269" s="65">
        <f>23.93968*1000</f>
        <v>23939.68</v>
      </c>
      <c r="J269" s="65">
        <f>0.04053*1000</f>
        <v>40.529999999999994</v>
      </c>
      <c r="K269" s="65">
        <f>0.20182*1000</f>
        <v>201.82</v>
      </c>
    </row>
    <row r="270" spans="1:11" ht="12.75">
      <c r="A270" s="61">
        <v>20</v>
      </c>
      <c r="B270" s="62" t="s">
        <v>260</v>
      </c>
      <c r="C270" s="73" t="s">
        <v>516</v>
      </c>
      <c r="D270" s="148"/>
      <c r="E270" s="64" t="s">
        <v>554</v>
      </c>
      <c r="F270" s="65">
        <f>323.53186*1000</f>
        <v>323531.86</v>
      </c>
      <c r="G270" s="65">
        <f>0.03047*1000</f>
        <v>30.47</v>
      </c>
      <c r="H270" s="65">
        <f>0.80695*1000</f>
        <v>806.9499999999999</v>
      </c>
      <c r="I270" s="65">
        <f>332.52696*1000</f>
        <v>332526.95999999996</v>
      </c>
      <c r="J270" s="65">
        <f>0.03047*1000</f>
        <v>30.47</v>
      </c>
      <c r="K270" s="65">
        <f>0.82854*1000</f>
        <v>828.5400000000001</v>
      </c>
    </row>
    <row r="271" spans="1:11" ht="25.5">
      <c r="A271" s="61">
        <v>21</v>
      </c>
      <c r="B271" s="62" t="s">
        <v>260</v>
      </c>
      <c r="C271" s="73" t="s">
        <v>516</v>
      </c>
      <c r="D271" s="148"/>
      <c r="E271" s="64" t="s">
        <v>555</v>
      </c>
      <c r="F271" s="65">
        <f>308.73112*1000</f>
        <v>308731.12</v>
      </c>
      <c r="G271" s="65">
        <f>0.01277*1000</f>
        <v>12.77</v>
      </c>
      <c r="H271" s="65">
        <f>0.32297*1000</f>
        <v>322.96999999999997</v>
      </c>
      <c r="I271" s="65">
        <f>308.88816*1000</f>
        <v>308888.16000000003</v>
      </c>
      <c r="J271" s="65">
        <f>0.01277*1000</f>
        <v>12.77</v>
      </c>
      <c r="K271" s="65">
        <f>0.33513*1000</f>
        <v>335.13</v>
      </c>
    </row>
    <row r="272" spans="1:11" ht="12.75">
      <c r="A272" s="61">
        <v>22</v>
      </c>
      <c r="B272" s="62" t="s">
        <v>260</v>
      </c>
      <c r="C272" s="73" t="s">
        <v>516</v>
      </c>
      <c r="D272" s="148"/>
      <c r="E272" s="64" t="s">
        <v>556</v>
      </c>
      <c r="F272" s="65">
        <f>76.64167*1000</f>
        <v>76641.67</v>
      </c>
      <c r="G272" s="65">
        <f>0.04106*1000</f>
        <v>41.06</v>
      </c>
      <c r="H272" s="65">
        <f>0.19723*1000</f>
        <v>197.23</v>
      </c>
      <c r="I272" s="65">
        <f>76.64167*1000</f>
        <v>76641.67</v>
      </c>
      <c r="J272" s="65">
        <f>0.04106*1000</f>
        <v>41.06</v>
      </c>
      <c r="K272" s="65">
        <f>0.19723*1000</f>
        <v>197.23</v>
      </c>
    </row>
    <row r="273" spans="1:11" ht="12.75">
      <c r="A273" s="61">
        <v>23</v>
      </c>
      <c r="B273" s="62" t="s">
        <v>260</v>
      </c>
      <c r="C273" s="73" t="s">
        <v>516</v>
      </c>
      <c r="D273" s="148"/>
      <c r="E273" s="64" t="s">
        <v>557</v>
      </c>
      <c r="F273" s="65">
        <f>205.41939*1000</f>
        <v>205419.38999999998</v>
      </c>
      <c r="G273" s="65">
        <f>0.02641*1000</f>
        <v>26.41</v>
      </c>
      <c r="H273" s="65">
        <f>0.39666*1000</f>
        <v>396.66</v>
      </c>
      <c r="I273" s="65">
        <f>205.41939*1000</f>
        <v>205419.38999999998</v>
      </c>
      <c r="J273" s="65">
        <f>0.02641*1000</f>
        <v>26.41</v>
      </c>
      <c r="K273" s="65">
        <f>0.39666*1000</f>
        <v>396.66</v>
      </c>
    </row>
    <row r="274" spans="1:11" ht="25.5">
      <c r="A274" s="61">
        <v>24</v>
      </c>
      <c r="B274" s="62" t="s">
        <v>260</v>
      </c>
      <c r="C274" s="73" t="s">
        <v>516</v>
      </c>
      <c r="D274" s="148"/>
      <c r="E274" s="64" t="s">
        <v>558</v>
      </c>
      <c r="F274" s="65">
        <f>63.80302*1000</f>
        <v>63803.02</v>
      </c>
      <c r="G274" s="65">
        <f>0.01836*1000</f>
        <v>18.360000000000003</v>
      </c>
      <c r="H274" s="65">
        <f>0.14385*1000</f>
        <v>143.85</v>
      </c>
      <c r="I274" s="65">
        <f>63.80302*1000</f>
        <v>63803.02</v>
      </c>
      <c r="J274" s="65">
        <f>0.01836*1000</f>
        <v>18.360000000000003</v>
      </c>
      <c r="K274" s="65">
        <f>0.14385*1000</f>
        <v>143.85</v>
      </c>
    </row>
    <row r="275" spans="1:11" ht="25.5">
      <c r="A275" s="61">
        <v>25</v>
      </c>
      <c r="B275" s="62" t="s">
        <v>260</v>
      </c>
      <c r="C275" s="73" t="s">
        <v>516</v>
      </c>
      <c r="D275" s="148"/>
      <c r="E275" s="64" t="s">
        <v>559</v>
      </c>
      <c r="F275" s="65">
        <f>344.88317*1000</f>
        <v>344883.17</v>
      </c>
      <c r="G275" s="65">
        <f>0.11016*1000</f>
        <v>110.16</v>
      </c>
      <c r="H275" s="65">
        <f>0.94741*1000</f>
        <v>947.41</v>
      </c>
      <c r="I275" s="65">
        <f>344.88317*1000</f>
        <v>344883.17</v>
      </c>
      <c r="J275" s="65">
        <f>0.11016*1000</f>
        <v>110.16</v>
      </c>
      <c r="K275" s="65">
        <f>0.94741*1000</f>
        <v>947.41</v>
      </c>
    </row>
    <row r="276" spans="1:11" ht="25.5">
      <c r="A276" s="61">
        <v>26</v>
      </c>
      <c r="B276" s="62" t="s">
        <v>260</v>
      </c>
      <c r="C276" s="73" t="s">
        <v>516</v>
      </c>
      <c r="D276" s="148"/>
      <c r="E276" s="64" t="s">
        <v>560</v>
      </c>
      <c r="F276" s="65">
        <f>496.9365*1000</f>
        <v>496936.5</v>
      </c>
      <c r="G276" s="65">
        <f>0.07104*1000</f>
        <v>71.04</v>
      </c>
      <c r="H276" s="65">
        <f>2.28448*1000</f>
        <v>2284.48</v>
      </c>
      <c r="I276" s="65">
        <f>471.44508*1000</f>
        <v>471445.08</v>
      </c>
      <c r="J276" s="65">
        <f>0.07103*1000</f>
        <v>71.03</v>
      </c>
      <c r="K276" s="65">
        <f>2.28448*1000</f>
        <v>2284.48</v>
      </c>
    </row>
    <row r="277" spans="1:11" ht="12.75">
      <c r="A277" s="61">
        <v>27</v>
      </c>
      <c r="B277" s="62" t="s">
        <v>260</v>
      </c>
      <c r="C277" s="73" t="s">
        <v>516</v>
      </c>
      <c r="D277" s="148"/>
      <c r="E277" s="64" t="s">
        <v>561</v>
      </c>
      <c r="F277" s="65">
        <f>105.51565*1000</f>
        <v>105515.65</v>
      </c>
      <c r="G277" s="65">
        <f>0.04108*1000</f>
        <v>41.08</v>
      </c>
      <c r="H277" s="65">
        <f>0.29179*1000</f>
        <v>291.79</v>
      </c>
      <c r="I277" s="65">
        <f>105.51565*1000</f>
        <v>105515.65</v>
      </c>
      <c r="J277" s="65">
        <f>0.04108*1000</f>
        <v>41.08</v>
      </c>
      <c r="K277" s="65">
        <f>0.29179*1000</f>
        <v>291.79</v>
      </c>
    </row>
    <row r="278" spans="1:11" ht="12.75">
      <c r="A278" s="61">
        <v>28</v>
      </c>
      <c r="B278" s="62" t="s">
        <v>260</v>
      </c>
      <c r="C278" s="73" t="s">
        <v>516</v>
      </c>
      <c r="D278" s="148"/>
      <c r="E278" s="64" t="s">
        <v>562</v>
      </c>
      <c r="F278" s="65">
        <f>164.06641*1000</f>
        <v>164066.41</v>
      </c>
      <c r="G278" s="65">
        <f>0.0011*1000</f>
        <v>1.1</v>
      </c>
      <c r="H278" s="65">
        <f>1.69588*1000</f>
        <v>1695.88</v>
      </c>
      <c r="I278" s="65">
        <f>164.06641*1000</f>
        <v>164066.41</v>
      </c>
      <c r="J278" s="65">
        <f>0.0011*1000</f>
        <v>1.1</v>
      </c>
      <c r="K278" s="65">
        <f>1.69588*1000</f>
        <v>1695.88</v>
      </c>
    </row>
    <row r="279" spans="1:11" ht="12.75">
      <c r="A279" s="61">
        <v>29</v>
      </c>
      <c r="B279" s="62" t="s">
        <v>260</v>
      </c>
      <c r="C279" s="73" t="s">
        <v>516</v>
      </c>
      <c r="D279" s="148"/>
      <c r="E279" s="64" t="s">
        <v>563</v>
      </c>
      <c r="F279" s="65">
        <f>1042.76852*1000</f>
        <v>1042768.5200000001</v>
      </c>
      <c r="G279" s="65">
        <f>0.26212*1000</f>
        <v>262.12</v>
      </c>
      <c r="H279" s="65">
        <f>2.91198*1000</f>
        <v>2911.9799999999996</v>
      </c>
      <c r="I279" s="65">
        <f>1042.76852*1000</f>
        <v>1042768.5200000001</v>
      </c>
      <c r="J279" s="65">
        <f>0.26212*1000</f>
        <v>262.12</v>
      </c>
      <c r="K279" s="65">
        <f>2.91198*1000</f>
        <v>2911.9799999999996</v>
      </c>
    </row>
    <row r="280" spans="1:11" ht="12.75">
      <c r="A280" s="61">
        <v>30</v>
      </c>
      <c r="B280" s="62" t="s">
        <v>260</v>
      </c>
      <c r="C280" s="73" t="s">
        <v>516</v>
      </c>
      <c r="D280" s="148"/>
      <c r="E280" s="64" t="s">
        <v>564</v>
      </c>
      <c r="F280" s="65">
        <f>164.97542*1000</f>
        <v>164975.42</v>
      </c>
      <c r="G280" s="65">
        <f>0.02941*1000</f>
        <v>29.41</v>
      </c>
      <c r="H280" s="65">
        <f>0.42391*1000</f>
        <v>423.91</v>
      </c>
      <c r="I280" s="65">
        <f>164.97542*1000</f>
        <v>164975.42</v>
      </c>
      <c r="J280" s="65">
        <f>0.02941*1000</f>
        <v>29.41</v>
      </c>
      <c r="K280" s="65">
        <f>0.42391*1000</f>
        <v>423.91</v>
      </c>
    </row>
    <row r="281" spans="1:11" ht="12.75">
      <c r="A281" s="61">
        <v>31</v>
      </c>
      <c r="B281" s="62" t="s">
        <v>260</v>
      </c>
      <c r="C281" s="73" t="s">
        <v>516</v>
      </c>
      <c r="D281" s="148"/>
      <c r="E281" s="64" t="s">
        <v>565</v>
      </c>
      <c r="F281" s="65">
        <f>1539.43333*1000</f>
        <v>1539433.33</v>
      </c>
      <c r="G281" s="65">
        <f>0.145*1000</f>
        <v>145</v>
      </c>
      <c r="H281" s="65">
        <f>3.83964*1000</f>
        <v>3839.6400000000003</v>
      </c>
      <c r="I281" s="65">
        <f>1539.43333*1000</f>
        <v>1539433.33</v>
      </c>
      <c r="J281" s="65">
        <f>0.145*1000</f>
        <v>145</v>
      </c>
      <c r="K281" s="65">
        <f>3.83964*1000</f>
        <v>3839.6400000000003</v>
      </c>
    </row>
    <row r="282" spans="1:11" ht="25.5">
      <c r="A282" s="61">
        <v>32</v>
      </c>
      <c r="B282" s="62" t="s">
        <v>260</v>
      </c>
      <c r="C282" s="73" t="s">
        <v>516</v>
      </c>
      <c r="D282" s="148"/>
      <c r="E282" s="64" t="s">
        <v>566</v>
      </c>
      <c r="F282" s="65">
        <f>63.11458*1000</f>
        <v>63114.579999999994</v>
      </c>
      <c r="G282" s="65">
        <f>0.04893*1000</f>
        <v>48.93</v>
      </c>
      <c r="H282" s="65">
        <f>0.38342*1000</f>
        <v>383.41999999999996</v>
      </c>
      <c r="I282" s="65">
        <f>63.11458*1000</f>
        <v>63114.579999999994</v>
      </c>
      <c r="J282" s="65">
        <f>0.04893*1000</f>
        <v>48.93</v>
      </c>
      <c r="K282" s="65">
        <f>0.38342*1000</f>
        <v>383.41999999999996</v>
      </c>
    </row>
    <row r="283" spans="1:11" ht="12.75">
      <c r="A283" s="61">
        <v>33</v>
      </c>
      <c r="B283" s="62" t="s">
        <v>260</v>
      </c>
      <c r="C283" s="73" t="s">
        <v>516</v>
      </c>
      <c r="D283" s="148"/>
      <c r="E283" s="64" t="s">
        <v>567</v>
      </c>
      <c r="F283" s="65">
        <f>291.63988*1000</f>
        <v>291639.88</v>
      </c>
      <c r="G283" s="65">
        <f>0.09138*1000</f>
        <v>91.38000000000001</v>
      </c>
      <c r="H283" s="65">
        <f>0.70574*1000</f>
        <v>705.74</v>
      </c>
      <c r="I283" s="65">
        <f>291.63988*1000</f>
        <v>291639.88</v>
      </c>
      <c r="J283" s="65">
        <f>0.09138*1000</f>
        <v>91.38000000000001</v>
      </c>
      <c r="K283" s="65">
        <f>0.70574*1000</f>
        <v>705.74</v>
      </c>
    </row>
    <row r="284" spans="1:11" ht="12.75">
      <c r="A284" s="61">
        <v>34</v>
      </c>
      <c r="B284" s="62" t="s">
        <v>260</v>
      </c>
      <c r="C284" s="73" t="s">
        <v>516</v>
      </c>
      <c r="D284" s="148"/>
      <c r="E284" s="64" t="s">
        <v>568</v>
      </c>
      <c r="F284" s="65">
        <f>98.38269*1000</f>
        <v>98382.69</v>
      </c>
      <c r="G284" s="65">
        <f>0.06832*1000</f>
        <v>68.32000000000001</v>
      </c>
      <c r="H284" s="65">
        <f>0.26241*1000</f>
        <v>262.40999999999997</v>
      </c>
      <c r="I284" s="65">
        <f>98.38269*1000</f>
        <v>98382.69</v>
      </c>
      <c r="J284" s="65">
        <f>0.06832*1000</f>
        <v>68.32000000000001</v>
      </c>
      <c r="K284" s="65">
        <f>0.26241*1000</f>
        <v>262.40999999999997</v>
      </c>
    </row>
    <row r="285" spans="1:11" ht="12.75">
      <c r="A285" s="61">
        <v>35</v>
      </c>
      <c r="B285" s="62" t="s">
        <v>260</v>
      </c>
      <c r="C285" s="73" t="s">
        <v>516</v>
      </c>
      <c r="D285" s="148"/>
      <c r="E285" s="64" t="s">
        <v>569</v>
      </c>
      <c r="F285" s="65">
        <f>254.52614*1000</f>
        <v>254526.13999999998</v>
      </c>
      <c r="G285" s="65">
        <f>0.03829*1000</f>
        <v>38.29</v>
      </c>
      <c r="H285" s="65">
        <f>0.6482*1000</f>
        <v>648.2</v>
      </c>
      <c r="I285" s="65">
        <f>254.52614*1000</f>
        <v>254526.13999999998</v>
      </c>
      <c r="J285" s="65">
        <f>0.03829*1000</f>
        <v>38.29</v>
      </c>
      <c r="K285" s="65">
        <f>0.6482*1000</f>
        <v>648.2</v>
      </c>
    </row>
    <row r="286" spans="1:11" ht="12.75">
      <c r="A286" s="61">
        <v>36</v>
      </c>
      <c r="B286" s="62" t="s">
        <v>260</v>
      </c>
      <c r="C286" s="73" t="s">
        <v>516</v>
      </c>
      <c r="D286" s="148"/>
      <c r="E286" s="64" t="s">
        <v>570</v>
      </c>
      <c r="F286" s="65">
        <f>149.23394*1000</f>
        <v>149233.94</v>
      </c>
      <c r="G286" s="65">
        <f>0.02531*1000</f>
        <v>25.31</v>
      </c>
      <c r="H286" s="65">
        <f>0.36186*1000</f>
        <v>361.86</v>
      </c>
      <c r="I286" s="65">
        <f>149.23394*1000</f>
        <v>149233.94</v>
      </c>
      <c r="J286" s="65">
        <f>0.02531*1000</f>
        <v>25.31</v>
      </c>
      <c r="K286" s="65">
        <f>0.36186*1000</f>
        <v>361.86</v>
      </c>
    </row>
    <row r="287" spans="1:11" ht="12.75">
      <c r="A287" s="61">
        <v>37</v>
      </c>
      <c r="B287" s="62" t="s">
        <v>260</v>
      </c>
      <c r="C287" s="73" t="s">
        <v>516</v>
      </c>
      <c r="D287" s="148"/>
      <c r="E287" s="64" t="s">
        <v>571</v>
      </c>
      <c r="F287" s="65">
        <f>90.46147*1000</f>
        <v>90461.47</v>
      </c>
      <c r="G287" s="65">
        <f>0.3952*1000</f>
        <v>395.2</v>
      </c>
      <c r="H287" s="65">
        <f>0.40997*1000</f>
        <v>409.97</v>
      </c>
      <c r="I287" s="65">
        <f>90.46147*1000</f>
        <v>90461.47</v>
      </c>
      <c r="J287" s="65">
        <f>0.3952*1000</f>
        <v>395.2</v>
      </c>
      <c r="K287" s="65">
        <f>0.40997*1000</f>
        <v>409.97</v>
      </c>
    </row>
    <row r="288" spans="1:11" ht="12.75">
      <c r="A288" s="61">
        <v>38</v>
      </c>
      <c r="B288" s="62" t="s">
        <v>260</v>
      </c>
      <c r="C288" s="73" t="s">
        <v>516</v>
      </c>
      <c r="D288" s="148"/>
      <c r="E288" s="64" t="s">
        <v>572</v>
      </c>
      <c r="F288" s="65">
        <f>94.67392*1000</f>
        <v>94673.92</v>
      </c>
      <c r="G288" s="65">
        <f>0.13095*1000</f>
        <v>130.95000000000002</v>
      </c>
      <c r="H288" s="65">
        <f>0.31681*1000</f>
        <v>316.81</v>
      </c>
      <c r="I288" s="65">
        <f>94.67392*1000</f>
        <v>94673.92</v>
      </c>
      <c r="J288" s="65">
        <f>0.13095*1000</f>
        <v>130.95000000000002</v>
      </c>
      <c r="K288" s="65">
        <f>0.31681*1000</f>
        <v>316.81</v>
      </c>
    </row>
    <row r="289" spans="1:11" ht="12.75">
      <c r="A289" s="61">
        <v>39</v>
      </c>
      <c r="B289" s="62" t="s">
        <v>260</v>
      </c>
      <c r="C289" s="73" t="s">
        <v>516</v>
      </c>
      <c r="D289" s="148"/>
      <c r="E289" s="64" t="s">
        <v>573</v>
      </c>
      <c r="F289" s="65">
        <f>138.14194*1000</f>
        <v>138141.94</v>
      </c>
      <c r="G289" s="65">
        <f>0.04949*1000</f>
        <v>49.49</v>
      </c>
      <c r="H289" s="65">
        <f>0.48547*1000</f>
        <v>485.47</v>
      </c>
      <c r="I289" s="65">
        <f>138.14194*1000</f>
        <v>138141.94</v>
      </c>
      <c r="J289" s="65">
        <f>0.04949*1000</f>
        <v>49.49</v>
      </c>
      <c r="K289" s="65">
        <f>0.48547*1000</f>
        <v>485.47</v>
      </c>
    </row>
    <row r="290" spans="1:11" ht="12.75">
      <c r="A290" s="61">
        <v>40</v>
      </c>
      <c r="B290" s="62" t="s">
        <v>260</v>
      </c>
      <c r="C290" s="73" t="s">
        <v>516</v>
      </c>
      <c r="D290" s="148"/>
      <c r="E290" s="64" t="s">
        <v>574</v>
      </c>
      <c r="F290" s="65">
        <f>189.67192*1000</f>
        <v>189671.92</v>
      </c>
      <c r="G290" s="65">
        <f>0.1267*1000</f>
        <v>126.7</v>
      </c>
      <c r="H290" s="65">
        <f>0.54146*1000</f>
        <v>541.46</v>
      </c>
      <c r="I290" s="65">
        <f>189.67192*1000</f>
        <v>189671.92</v>
      </c>
      <c r="J290" s="65">
        <f>0.1267*1000</f>
        <v>126.7</v>
      </c>
      <c r="K290" s="65">
        <f>0.54146*1000</f>
        <v>541.46</v>
      </c>
    </row>
    <row r="291" spans="1:11" ht="12.75">
      <c r="A291" s="61">
        <v>41</v>
      </c>
      <c r="B291" s="62" t="s">
        <v>260</v>
      </c>
      <c r="C291" s="73" t="s">
        <v>516</v>
      </c>
      <c r="D291" s="148"/>
      <c r="E291" s="64" t="s">
        <v>575</v>
      </c>
      <c r="F291" s="65">
        <f>912.61727*1000</f>
        <v>912617.27</v>
      </c>
      <c r="G291" s="65">
        <f>0.16963*1000</f>
        <v>169.63</v>
      </c>
      <c r="H291" s="65">
        <f>2.22338*1000</f>
        <v>2223.38</v>
      </c>
      <c r="I291" s="65">
        <f>912.61727*1000</f>
        <v>912617.27</v>
      </c>
      <c r="J291" s="65">
        <f>0.16963*1000</f>
        <v>169.63</v>
      </c>
      <c r="K291" s="65">
        <f>2.22338*1000</f>
        <v>2223.38</v>
      </c>
    </row>
    <row r="292" spans="1:11" ht="12.75">
      <c r="A292" s="61">
        <v>42</v>
      </c>
      <c r="B292" s="62" t="s">
        <v>260</v>
      </c>
      <c r="C292" s="73" t="s">
        <v>516</v>
      </c>
      <c r="D292" s="148"/>
      <c r="E292" s="64" t="s">
        <v>576</v>
      </c>
      <c r="F292" s="65">
        <f>728.59802*1000</f>
        <v>728598.02</v>
      </c>
      <c r="G292" s="65">
        <f>0.19485*1000</f>
        <v>194.85</v>
      </c>
      <c r="H292" s="65">
        <f>1.83032*1000</f>
        <v>1830.32</v>
      </c>
      <c r="I292" s="65">
        <f>728.59802*1000</f>
        <v>728598.02</v>
      </c>
      <c r="J292" s="65">
        <f>0.19485*1000</f>
        <v>194.85</v>
      </c>
      <c r="K292" s="65">
        <f>1.83032*1000</f>
        <v>1830.32</v>
      </c>
    </row>
    <row r="293" spans="1:11" ht="25.5">
      <c r="A293" s="61">
        <v>43</v>
      </c>
      <c r="B293" s="62" t="s">
        <v>260</v>
      </c>
      <c r="C293" s="73" t="s">
        <v>516</v>
      </c>
      <c r="D293" s="148"/>
      <c r="E293" s="64" t="s">
        <v>577</v>
      </c>
      <c r="F293" s="65">
        <f>369.43793*1000</f>
        <v>369437.93</v>
      </c>
      <c r="G293" s="65">
        <f>0.04482*1000</f>
        <v>44.82</v>
      </c>
      <c r="H293" s="65">
        <f>0.88274*1000</f>
        <v>882.74</v>
      </c>
      <c r="I293" s="65">
        <f>369.43793*1000</f>
        <v>369437.93</v>
      </c>
      <c r="J293" s="65">
        <f>0.04482*1000</f>
        <v>44.82</v>
      </c>
      <c r="K293" s="65">
        <f>0.88274*1000</f>
        <v>882.74</v>
      </c>
    </row>
    <row r="294" spans="1:11" ht="12.75">
      <c r="A294" s="61">
        <v>44</v>
      </c>
      <c r="B294" s="62" t="s">
        <v>260</v>
      </c>
      <c r="C294" s="73" t="s">
        <v>516</v>
      </c>
      <c r="D294" s="148"/>
      <c r="E294" s="64" t="s">
        <v>578</v>
      </c>
      <c r="F294" s="65">
        <f>172.6875*1000</f>
        <v>172687.5</v>
      </c>
      <c r="G294" s="65">
        <f>0.08046*1000</f>
        <v>80.46000000000001</v>
      </c>
      <c r="H294" s="65">
        <f>0.89711*1000</f>
        <v>897.11</v>
      </c>
      <c r="I294" s="65">
        <f>172.6875*1000</f>
        <v>172687.5</v>
      </c>
      <c r="J294" s="65">
        <f>0.08046*1000</f>
        <v>80.46000000000001</v>
      </c>
      <c r="K294" s="65">
        <f>0.89711*1000</f>
        <v>897.11</v>
      </c>
    </row>
    <row r="295" spans="1:11" ht="12.75">
      <c r="A295" s="61">
        <v>45</v>
      </c>
      <c r="B295" s="62" t="s">
        <v>260</v>
      </c>
      <c r="C295" s="73" t="s">
        <v>516</v>
      </c>
      <c r="D295" s="148"/>
      <c r="E295" s="64" t="s">
        <v>579</v>
      </c>
      <c r="F295" s="65">
        <f>78.33565*1000</f>
        <v>78335.65</v>
      </c>
      <c r="G295" s="65">
        <f>0.04293*1000</f>
        <v>42.93</v>
      </c>
      <c r="H295" s="65">
        <f>0.25889*1000</f>
        <v>258.89</v>
      </c>
      <c r="I295" s="65">
        <f>78.33565*1000</f>
        <v>78335.65</v>
      </c>
      <c r="J295" s="65">
        <f>0.04293*1000</f>
        <v>42.93</v>
      </c>
      <c r="K295" s="65">
        <f>0.25889*1000</f>
        <v>258.89</v>
      </c>
    </row>
    <row r="296" spans="1:11" ht="12.75">
      <c r="A296" s="61">
        <v>46</v>
      </c>
      <c r="B296" s="62" t="s">
        <v>260</v>
      </c>
      <c r="C296" s="73" t="s">
        <v>516</v>
      </c>
      <c r="D296" s="148"/>
      <c r="E296" s="64" t="s">
        <v>580</v>
      </c>
      <c r="F296" s="65">
        <f>76.27404*1000</f>
        <v>76274.04</v>
      </c>
      <c r="G296" s="65">
        <f>0.06254*1000</f>
        <v>62.54</v>
      </c>
      <c r="H296" s="65">
        <f>0.29291*1000</f>
        <v>292.91</v>
      </c>
      <c r="I296" s="65">
        <f>76.27404*1000</f>
        <v>76274.04</v>
      </c>
      <c r="J296" s="65">
        <f>0.06254*1000</f>
        <v>62.54</v>
      </c>
      <c r="K296" s="65">
        <f>0.29291*1000</f>
        <v>292.91</v>
      </c>
    </row>
    <row r="297" spans="1:11" ht="25.5">
      <c r="A297" s="61">
        <v>47</v>
      </c>
      <c r="B297" s="62" t="s">
        <v>260</v>
      </c>
      <c r="C297" s="73" t="s">
        <v>516</v>
      </c>
      <c r="D297" s="148"/>
      <c r="E297" s="64" t="s">
        <v>581</v>
      </c>
      <c r="F297" s="65">
        <f>84.42061*1000</f>
        <v>84420.61</v>
      </c>
      <c r="G297" s="65">
        <f>0.03035*1000</f>
        <v>30.349999999999998</v>
      </c>
      <c r="H297" s="65">
        <f>0.91907*1000</f>
        <v>919.07</v>
      </c>
      <c r="I297" s="65">
        <f>84.42061*1000</f>
        <v>84420.61</v>
      </c>
      <c r="J297" s="65">
        <f>0.03035*1000</f>
        <v>30.349999999999998</v>
      </c>
      <c r="K297" s="65">
        <f>0.91907*1000</f>
        <v>919.07</v>
      </c>
    </row>
    <row r="298" spans="1:11" ht="12.75">
      <c r="A298" s="61">
        <v>48</v>
      </c>
      <c r="B298" s="62" t="s">
        <v>260</v>
      </c>
      <c r="C298" s="73" t="s">
        <v>516</v>
      </c>
      <c r="D298" s="148"/>
      <c r="E298" s="64" t="s">
        <v>582</v>
      </c>
      <c r="F298" s="65">
        <f>1236.57781*1000</f>
        <v>1236577.81</v>
      </c>
      <c r="G298" s="65">
        <f>0.21119*1000</f>
        <v>211.19</v>
      </c>
      <c r="H298" s="65">
        <f>2.6014*1000</f>
        <v>2601.4</v>
      </c>
      <c r="I298" s="65">
        <f>1236.57781*1000</f>
        <v>1236577.81</v>
      </c>
      <c r="J298" s="65">
        <f>0.21119*1000</f>
        <v>211.19</v>
      </c>
      <c r="K298" s="65">
        <f>2.6014*1000</f>
        <v>2601.4</v>
      </c>
    </row>
    <row r="299" spans="1:11" ht="12.75">
      <c r="A299" s="61">
        <v>49</v>
      </c>
      <c r="B299" s="62" t="s">
        <v>260</v>
      </c>
      <c r="C299" s="73" t="s">
        <v>516</v>
      </c>
      <c r="D299" s="148"/>
      <c r="E299" s="64" t="s">
        <v>583</v>
      </c>
      <c r="F299" s="65">
        <f>105.8799*1000</f>
        <v>105879.90000000001</v>
      </c>
      <c r="G299" s="65">
        <f>0.03329*1000</f>
        <v>33.29</v>
      </c>
      <c r="H299" s="65">
        <f>0.19341*1000</f>
        <v>193.41</v>
      </c>
      <c r="I299" s="65">
        <f>105.8799*1000</f>
        <v>105879.90000000001</v>
      </c>
      <c r="J299" s="65">
        <f>0.03329*1000</f>
        <v>33.29</v>
      </c>
      <c r="K299" s="65">
        <f>0.19341*1000</f>
        <v>193.41</v>
      </c>
    </row>
    <row r="300" spans="1:11" ht="12.75">
      <c r="A300" s="61">
        <v>50</v>
      </c>
      <c r="B300" s="62" t="s">
        <v>260</v>
      </c>
      <c r="C300" s="73" t="s">
        <v>516</v>
      </c>
      <c r="D300" s="148"/>
      <c r="E300" s="64" t="s">
        <v>584</v>
      </c>
      <c r="F300" s="65">
        <f>406.22927*1000</f>
        <v>406229.26999999996</v>
      </c>
      <c r="G300" s="65">
        <f>0.09177*1000</f>
        <v>91.77000000000001</v>
      </c>
      <c r="H300" s="65">
        <f>1.17751*1000</f>
        <v>1177.51</v>
      </c>
      <c r="I300" s="65">
        <f>406.22927*1000</f>
        <v>406229.26999999996</v>
      </c>
      <c r="J300" s="65">
        <f>0.09177*1000</f>
        <v>91.77000000000001</v>
      </c>
      <c r="K300" s="65">
        <f>1.17751*1000</f>
        <v>1177.51</v>
      </c>
    </row>
    <row r="301" spans="1:11" ht="27.75" customHeight="1">
      <c r="A301" s="78">
        <v>51</v>
      </c>
      <c r="B301" s="62" t="s">
        <v>586</v>
      </c>
      <c r="C301" s="80" t="s">
        <v>587</v>
      </c>
      <c r="D301" s="91" t="s">
        <v>588</v>
      </c>
      <c r="E301" s="64" t="s">
        <v>585</v>
      </c>
      <c r="F301" s="82">
        <f>562.59212*1000</f>
        <v>562592.12</v>
      </c>
      <c r="G301" s="65">
        <f>0.04362*1000</f>
        <v>43.62</v>
      </c>
      <c r="H301" s="82">
        <f>2.84782*1000</f>
        <v>2847.82</v>
      </c>
      <c r="I301" s="65">
        <f>562.59212*1000</f>
        <v>562592.12</v>
      </c>
      <c r="J301" s="82">
        <f>0.04362*1000</f>
        <v>43.62</v>
      </c>
      <c r="K301" s="65">
        <f>2.84782*1000</f>
        <v>2847.82</v>
      </c>
    </row>
    <row r="302" spans="1:11" ht="28.5" customHeight="1">
      <c r="A302" s="78">
        <v>52</v>
      </c>
      <c r="B302" s="62" t="s">
        <v>590</v>
      </c>
      <c r="C302" s="80" t="s">
        <v>591</v>
      </c>
      <c r="D302" s="85" t="s">
        <v>592</v>
      </c>
      <c r="E302" s="64" t="s">
        <v>589</v>
      </c>
      <c r="F302" s="82"/>
      <c r="G302" s="65"/>
      <c r="H302" s="82"/>
      <c r="I302" s="65">
        <f>1042.76852*1000</f>
        <v>1042768.5200000001</v>
      </c>
      <c r="J302" s="82">
        <f>0.26212*1000</f>
        <v>262.12</v>
      </c>
      <c r="K302" s="65">
        <f>2.91198*1000</f>
        <v>2911.9799999999996</v>
      </c>
    </row>
    <row r="303" spans="1:11" ht="12.75">
      <c r="A303" s="78">
        <v>53</v>
      </c>
      <c r="B303" s="62" t="s">
        <v>594</v>
      </c>
      <c r="C303" s="80" t="s">
        <v>595</v>
      </c>
      <c r="D303" s="85" t="s">
        <v>597</v>
      </c>
      <c r="E303" s="64" t="s">
        <v>593</v>
      </c>
      <c r="F303" s="82">
        <f>285.33956*1000</f>
        <v>285339.56</v>
      </c>
      <c r="G303" s="65">
        <f>0.05612*1000</f>
        <v>56.120000000000005</v>
      </c>
      <c r="H303" s="82">
        <f>0.82151*1000</f>
        <v>821.51</v>
      </c>
      <c r="I303" s="65">
        <f>285.33956*1000</f>
        <v>285339.56</v>
      </c>
      <c r="J303" s="82">
        <f>0.05612*1000</f>
        <v>56.120000000000005</v>
      </c>
      <c r="K303" s="65">
        <f>0.82151*1000</f>
        <v>821.51</v>
      </c>
    </row>
    <row r="304" spans="1:11" ht="12.75">
      <c r="A304" s="78">
        <v>54</v>
      </c>
      <c r="B304" s="62" t="s">
        <v>586</v>
      </c>
      <c r="C304" s="80" t="s">
        <v>587</v>
      </c>
      <c r="D304" s="85" t="s">
        <v>588</v>
      </c>
      <c r="E304" s="64" t="s">
        <v>596</v>
      </c>
      <c r="F304" s="82">
        <f>147.05016*1000</f>
        <v>147050.16</v>
      </c>
      <c r="G304" s="65">
        <f>0.16684*1000</f>
        <v>166.83999999999997</v>
      </c>
      <c r="H304" s="82">
        <f>2.67016*1000</f>
        <v>2670.1600000000003</v>
      </c>
      <c r="I304" s="65">
        <f>147.05016*1000</f>
        <v>147050.16</v>
      </c>
      <c r="J304" s="82">
        <f>0.16684*1000</f>
        <v>166.83999999999997</v>
      </c>
      <c r="K304" s="65">
        <f>2.67016*1000</f>
        <v>2670.1600000000003</v>
      </c>
    </row>
    <row r="305" spans="1:11" s="94" customFormat="1" ht="12.75">
      <c r="A305" s="78">
        <v>55</v>
      </c>
      <c r="B305" s="92" t="s">
        <v>600</v>
      </c>
      <c r="C305" s="93" t="s">
        <v>599</v>
      </c>
      <c r="D305" s="85" t="s">
        <v>601</v>
      </c>
      <c r="E305" s="64" t="s">
        <v>598</v>
      </c>
      <c r="F305" s="82">
        <f>88.17115*1000</f>
        <v>88171.15</v>
      </c>
      <c r="G305" s="65">
        <f>0.07379*1000</f>
        <v>73.78999999999999</v>
      </c>
      <c r="H305" s="82">
        <f>0.3401*1000</f>
        <v>340.1</v>
      </c>
      <c r="I305" s="65">
        <f>88.17115*1000</f>
        <v>88171.15</v>
      </c>
      <c r="J305" s="82">
        <f>0.07379*1000</f>
        <v>73.78999999999999</v>
      </c>
      <c r="K305" s="65">
        <f>0.3401*1000</f>
        <v>340.1</v>
      </c>
    </row>
    <row r="306" spans="1:11" ht="24.75" customHeight="1">
      <c r="A306" s="78">
        <v>56</v>
      </c>
      <c r="B306" s="62" t="s">
        <v>603</v>
      </c>
      <c r="C306" s="80" t="s">
        <v>604</v>
      </c>
      <c r="D306" s="85" t="s">
        <v>605</v>
      </c>
      <c r="E306" s="64" t="s">
        <v>602</v>
      </c>
      <c r="F306" s="82"/>
      <c r="G306" s="65"/>
      <c r="H306" s="82"/>
      <c r="I306" s="65">
        <f>667.7403*1000</f>
        <v>667740.3</v>
      </c>
      <c r="J306" s="82">
        <f>0.19624*1000</f>
        <v>196.24</v>
      </c>
      <c r="K306" s="65">
        <f>3.79294*1000</f>
        <v>3792.94</v>
      </c>
    </row>
    <row r="307" spans="1:11" ht="24">
      <c r="A307" s="78">
        <v>57</v>
      </c>
      <c r="B307" s="62" t="s">
        <v>607</v>
      </c>
      <c r="C307" s="95" t="s">
        <v>610</v>
      </c>
      <c r="D307" s="96" t="s">
        <v>611</v>
      </c>
      <c r="E307" s="64" t="s">
        <v>606</v>
      </c>
      <c r="F307" s="114" t="s">
        <v>534</v>
      </c>
      <c r="G307" s="115"/>
      <c r="H307" s="115"/>
      <c r="I307" s="115"/>
      <c r="J307" s="115"/>
      <c r="K307" s="116"/>
    </row>
    <row r="308" spans="1:11" ht="12.75">
      <c r="A308" s="78">
        <v>58</v>
      </c>
      <c r="B308" s="62" t="s">
        <v>586</v>
      </c>
      <c r="C308" s="80" t="s">
        <v>587</v>
      </c>
      <c r="D308" s="85" t="s">
        <v>588</v>
      </c>
      <c r="E308" s="64" t="s">
        <v>608</v>
      </c>
      <c r="F308" s="114" t="s">
        <v>534</v>
      </c>
      <c r="G308" s="115"/>
      <c r="H308" s="115"/>
      <c r="I308" s="115"/>
      <c r="J308" s="115"/>
      <c r="K308" s="116"/>
    </row>
    <row r="309" spans="1:11" ht="12.75">
      <c r="A309" s="78">
        <v>59</v>
      </c>
      <c r="B309" s="62" t="s">
        <v>586</v>
      </c>
      <c r="C309" s="80" t="s">
        <v>587</v>
      </c>
      <c r="D309" s="85" t="s">
        <v>588</v>
      </c>
      <c r="E309" s="64" t="s">
        <v>609</v>
      </c>
      <c r="F309" s="114" t="s">
        <v>534</v>
      </c>
      <c r="G309" s="115"/>
      <c r="H309" s="115"/>
      <c r="I309" s="115"/>
      <c r="J309" s="115"/>
      <c r="K309" s="116"/>
    </row>
    <row r="310" spans="1:11" ht="12.75">
      <c r="A310" s="106" t="s">
        <v>388</v>
      </c>
      <c r="B310" s="107"/>
      <c r="C310" s="107"/>
      <c r="D310" s="107"/>
      <c r="E310" s="107"/>
      <c r="F310" s="107"/>
      <c r="G310" s="107"/>
      <c r="H310" s="107"/>
      <c r="I310" s="107"/>
      <c r="J310" s="107"/>
      <c r="K310" s="108"/>
    </row>
    <row r="311" spans="1:11" ht="51">
      <c r="A311" s="102">
        <v>1</v>
      </c>
      <c r="B311" s="67" t="s">
        <v>620</v>
      </c>
      <c r="C311" s="90">
        <v>41632</v>
      </c>
      <c r="D311" s="63" t="s">
        <v>621</v>
      </c>
      <c r="E311" s="64" t="s">
        <v>266</v>
      </c>
      <c r="F311" s="65">
        <f>37.315585*1000</f>
        <v>37315.585</v>
      </c>
      <c r="G311" s="65">
        <f>0.281526*1000</f>
        <v>281.526</v>
      </c>
      <c r="H311" s="65">
        <f>0.416087*1000</f>
        <v>416.087</v>
      </c>
      <c r="I311" s="65">
        <f>37.315585*1000</f>
        <v>37315.585</v>
      </c>
      <c r="J311" s="65">
        <f>0.281526*1000</f>
        <v>281.526</v>
      </c>
      <c r="K311" s="65">
        <f>0.414412*1000</f>
        <v>414.412</v>
      </c>
    </row>
    <row r="312" spans="1:11" ht="90" customHeight="1">
      <c r="A312" s="102">
        <v>2</v>
      </c>
      <c r="B312" s="67" t="s">
        <v>622</v>
      </c>
      <c r="C312" s="103" t="s">
        <v>638</v>
      </c>
      <c r="D312" s="63" t="s">
        <v>623</v>
      </c>
      <c r="E312" s="64" t="s">
        <v>267</v>
      </c>
      <c r="F312" s="65">
        <f>53.34756*1000</f>
        <v>53347.560000000005</v>
      </c>
      <c r="G312" s="65">
        <f>0.006867*1000</f>
        <v>6.867</v>
      </c>
      <c r="H312" s="65">
        <f>0.087157*1000</f>
        <v>87.157</v>
      </c>
      <c r="I312" s="65">
        <f>53.347557*1000</f>
        <v>53347.557</v>
      </c>
      <c r="J312" s="65">
        <f>0.00603*1000</f>
        <v>6.029999999999999</v>
      </c>
      <c r="K312" s="65">
        <f>0.084775*1000</f>
        <v>84.775</v>
      </c>
    </row>
    <row r="313" spans="1:11" ht="35.25" customHeight="1">
      <c r="A313" s="102">
        <v>3</v>
      </c>
      <c r="B313" s="67" t="s">
        <v>268</v>
      </c>
      <c r="C313" s="90">
        <v>41632</v>
      </c>
      <c r="D313" s="63" t="s">
        <v>265</v>
      </c>
      <c r="E313" s="64" t="s">
        <v>269</v>
      </c>
      <c r="F313" s="65">
        <f>31.86529*1000</f>
        <v>31865.29</v>
      </c>
      <c r="G313" s="65">
        <v>0</v>
      </c>
      <c r="H313" s="65">
        <f>0.13285*1000</f>
        <v>132.85</v>
      </c>
      <c r="I313" s="65">
        <f>31.86529*1000</f>
        <v>31865.29</v>
      </c>
      <c r="J313" s="65">
        <v>0</v>
      </c>
      <c r="K313" s="65">
        <f>0.11816*1000</f>
        <v>118.16</v>
      </c>
    </row>
    <row r="314" spans="1:11" ht="38.25">
      <c r="A314" s="102">
        <v>4</v>
      </c>
      <c r="B314" s="67" t="s">
        <v>624</v>
      </c>
      <c r="C314" s="90" t="s">
        <v>625</v>
      </c>
      <c r="D314" s="63" t="s">
        <v>626</v>
      </c>
      <c r="E314" s="64" t="s">
        <v>270</v>
      </c>
      <c r="F314" s="65">
        <f>227.13564*1000</f>
        <v>227135.63999999998</v>
      </c>
      <c r="G314" s="65">
        <f>0.294821*1000</f>
        <v>294.821</v>
      </c>
      <c r="H314" s="65">
        <f>0.637812*1000</f>
        <v>637.812</v>
      </c>
      <c r="I314" s="65">
        <f>226.05814*1000</f>
        <v>226058.14</v>
      </c>
      <c r="J314" s="65">
        <f>0.294821*1000</f>
        <v>294.821</v>
      </c>
      <c r="K314" s="65">
        <f>0.637812*1000</f>
        <v>637.812</v>
      </c>
    </row>
    <row r="315" spans="1:11" ht="51">
      <c r="A315" s="102">
        <v>5</v>
      </c>
      <c r="B315" s="67" t="s">
        <v>271</v>
      </c>
      <c r="C315" s="90">
        <v>41632</v>
      </c>
      <c r="D315" s="63" t="s">
        <v>265</v>
      </c>
      <c r="E315" s="64" t="s">
        <v>272</v>
      </c>
      <c r="F315" s="65">
        <f>94.33334*1000</f>
        <v>94333.34000000001</v>
      </c>
      <c r="G315" s="65">
        <f>0.036621*1000</f>
        <v>36.621</v>
      </c>
      <c r="H315" s="65">
        <f>0.098501*1000</f>
        <v>98.501</v>
      </c>
      <c r="I315" s="65">
        <f>86.89884*1000</f>
        <v>86898.84000000001</v>
      </c>
      <c r="J315" s="65">
        <f>0.036621*1000</f>
        <v>36.621</v>
      </c>
      <c r="K315" s="65">
        <f>0.098501*1000</f>
        <v>98.501</v>
      </c>
    </row>
    <row r="316" spans="1:11" ht="38.25">
      <c r="A316" s="102">
        <v>6</v>
      </c>
      <c r="B316" s="67" t="s">
        <v>627</v>
      </c>
      <c r="C316" s="90" t="s">
        <v>628</v>
      </c>
      <c r="D316" s="63" t="s">
        <v>626</v>
      </c>
      <c r="E316" s="64" t="s">
        <v>273</v>
      </c>
      <c r="F316" s="65">
        <f>182.98376*1000</f>
        <v>182983.75999999998</v>
      </c>
      <c r="G316" s="65">
        <f>0.26757*1000</f>
        <v>267.57</v>
      </c>
      <c r="H316" s="65">
        <f>0.53841*1000</f>
        <v>538.4100000000001</v>
      </c>
      <c r="I316" s="65">
        <f>179.12888*1000</f>
        <v>179128.88</v>
      </c>
      <c r="J316" s="65">
        <f>0.26757*1000</f>
        <v>267.57</v>
      </c>
      <c r="K316" s="65">
        <f>0.53841*1000</f>
        <v>538.4100000000001</v>
      </c>
    </row>
    <row r="317" spans="1:11" ht="38.25">
      <c r="A317" s="102">
        <v>7</v>
      </c>
      <c r="B317" s="67" t="s">
        <v>629</v>
      </c>
      <c r="C317" s="90" t="s">
        <v>630</v>
      </c>
      <c r="D317" s="63" t="s">
        <v>631</v>
      </c>
      <c r="E317" s="64" t="s">
        <v>274</v>
      </c>
      <c r="F317" s="65">
        <f>207.1688*1000</f>
        <v>207168.80000000002</v>
      </c>
      <c r="G317" s="65">
        <f>0.128082*1000</f>
        <v>128.082</v>
      </c>
      <c r="H317" s="65">
        <f>0.61325*1000</f>
        <v>613.25</v>
      </c>
      <c r="I317" s="65">
        <f>207.16769*1000</f>
        <v>207167.69</v>
      </c>
      <c r="J317" s="65">
        <f>0.128082*1000</f>
        <v>128.082</v>
      </c>
      <c r="K317" s="65">
        <f>0.61325*1000</f>
        <v>613.25</v>
      </c>
    </row>
    <row r="318" spans="1:11" ht="25.5">
      <c r="A318" s="102">
        <v>8</v>
      </c>
      <c r="B318" s="67" t="s">
        <v>275</v>
      </c>
      <c r="C318" s="90">
        <v>41632</v>
      </c>
      <c r="D318" s="63" t="s">
        <v>265</v>
      </c>
      <c r="E318" s="64" t="s">
        <v>36</v>
      </c>
      <c r="F318" s="65">
        <f>16.46322*1000</f>
        <v>16463.22</v>
      </c>
      <c r="G318" s="65">
        <f>0.023014*1000</f>
        <v>23.014</v>
      </c>
      <c r="H318" s="65">
        <f>0.044785*1000</f>
        <v>44.785</v>
      </c>
      <c r="I318" s="65">
        <f>15.543*1000</f>
        <v>15543</v>
      </c>
      <c r="J318" s="65">
        <f>0.023014*1000</f>
        <v>23.014</v>
      </c>
      <c r="K318" s="65">
        <f>0.044785*1000</f>
        <v>44.785</v>
      </c>
    </row>
    <row r="319" spans="1:11" ht="38.25">
      <c r="A319" s="102">
        <v>9</v>
      </c>
      <c r="B319" s="67" t="s">
        <v>632</v>
      </c>
      <c r="C319" s="90" t="s">
        <v>633</v>
      </c>
      <c r="D319" s="63" t="s">
        <v>634</v>
      </c>
      <c r="E319" s="64" t="s">
        <v>276</v>
      </c>
      <c r="F319" s="65">
        <f>611.46288*1000</f>
        <v>611462.88</v>
      </c>
      <c r="G319" s="65">
        <f>0.202039*1000</f>
        <v>202.039</v>
      </c>
      <c r="H319" s="65">
        <f>1.2142*1000</f>
        <v>1214.2</v>
      </c>
      <c r="I319" s="65">
        <f>611.4628*1000</f>
        <v>611462.8</v>
      </c>
      <c r="J319" s="65">
        <f>0.202039*1000</f>
        <v>202.039</v>
      </c>
      <c r="K319" s="65">
        <f>1.1799*1000</f>
        <v>1179.8999999999999</v>
      </c>
    </row>
    <row r="320" spans="1:11" ht="25.5">
      <c r="A320" s="102">
        <v>10</v>
      </c>
      <c r="B320" s="67" t="s">
        <v>277</v>
      </c>
      <c r="C320" s="90">
        <v>41632</v>
      </c>
      <c r="D320" s="63" t="s">
        <v>265</v>
      </c>
      <c r="E320" s="64" t="s">
        <v>278</v>
      </c>
      <c r="F320" s="65">
        <f>45.71101*1000</f>
        <v>45711.01</v>
      </c>
      <c r="G320" s="65">
        <f>0.0245*1000</f>
        <v>24.5</v>
      </c>
      <c r="H320" s="65">
        <f>0.22688*1000</f>
        <v>226.88</v>
      </c>
      <c r="I320" s="65">
        <f>44.07878*1000</f>
        <v>44078.78</v>
      </c>
      <c r="J320" s="65">
        <f>0.0245*1000</f>
        <v>24.5</v>
      </c>
      <c r="K320" s="65">
        <f>0.22688*1000</f>
        <v>226.88</v>
      </c>
    </row>
    <row r="321" spans="1:11" ht="38.25">
      <c r="A321" s="102">
        <v>11</v>
      </c>
      <c r="B321" s="67" t="s">
        <v>635</v>
      </c>
      <c r="C321" s="90">
        <v>41766</v>
      </c>
      <c r="D321" s="63" t="s">
        <v>636</v>
      </c>
      <c r="E321" s="64" t="s">
        <v>637</v>
      </c>
      <c r="F321" s="65">
        <f>64.13239*1000</f>
        <v>64132.39</v>
      </c>
      <c r="G321" s="65">
        <f>0.15259*1000</f>
        <v>152.59</v>
      </c>
      <c r="H321" s="65">
        <f>0.34989*1000</f>
        <v>349.89</v>
      </c>
      <c r="I321" s="65">
        <f>64.13239*1000</f>
        <v>64132.39</v>
      </c>
      <c r="J321" s="65">
        <f>0.15259*1000</f>
        <v>152.59</v>
      </c>
      <c r="K321" s="65">
        <f>0.34989*1000</f>
        <v>349.89</v>
      </c>
    </row>
    <row r="322" spans="1:11" ht="12.75">
      <c r="A322" s="106" t="s">
        <v>373</v>
      </c>
      <c r="B322" s="107"/>
      <c r="C322" s="107"/>
      <c r="D322" s="107"/>
      <c r="E322" s="107"/>
      <c r="F322" s="107"/>
      <c r="G322" s="107"/>
      <c r="H322" s="107"/>
      <c r="I322" s="107"/>
      <c r="J322" s="107"/>
      <c r="K322" s="108"/>
    </row>
    <row r="323" spans="1:11" ht="38.25">
      <c r="A323" s="61">
        <v>1</v>
      </c>
      <c r="B323" s="62" t="s">
        <v>282</v>
      </c>
      <c r="C323" s="73" t="s">
        <v>283</v>
      </c>
      <c r="D323" s="63" t="s">
        <v>284</v>
      </c>
      <c r="E323" s="64" t="s">
        <v>285</v>
      </c>
      <c r="F323" s="65">
        <v>128087.44</v>
      </c>
      <c r="G323" s="65">
        <v>39.35</v>
      </c>
      <c r="H323" s="65">
        <v>232.13</v>
      </c>
      <c r="I323" s="65">
        <v>127470.13</v>
      </c>
      <c r="J323" s="65">
        <v>50.71</v>
      </c>
      <c r="K323" s="65">
        <v>267.47</v>
      </c>
    </row>
    <row r="324" spans="1:11" ht="38.25">
      <c r="A324" s="61">
        <v>2</v>
      </c>
      <c r="B324" s="62" t="s">
        <v>286</v>
      </c>
      <c r="C324" s="73" t="s">
        <v>283</v>
      </c>
      <c r="D324" s="63" t="s">
        <v>284</v>
      </c>
      <c r="E324" s="64" t="s">
        <v>287</v>
      </c>
      <c r="F324" s="65">
        <v>200743.56</v>
      </c>
      <c r="G324" s="65">
        <v>412.26</v>
      </c>
      <c r="H324" s="65">
        <v>804.14</v>
      </c>
      <c r="I324" s="65">
        <v>213375.18</v>
      </c>
      <c r="J324" s="65">
        <v>381.3</v>
      </c>
      <c r="K324" s="65">
        <v>770.88</v>
      </c>
    </row>
    <row r="325" spans="1:11" ht="38.25">
      <c r="A325" s="61">
        <v>3</v>
      </c>
      <c r="B325" s="62" t="s">
        <v>288</v>
      </c>
      <c r="C325" s="73" t="s">
        <v>283</v>
      </c>
      <c r="D325" s="63" t="s">
        <v>284</v>
      </c>
      <c r="E325" s="64" t="s">
        <v>289</v>
      </c>
      <c r="F325" s="65">
        <v>370782.32</v>
      </c>
      <c r="G325" s="65">
        <v>383.85</v>
      </c>
      <c r="H325" s="65">
        <v>1056.17</v>
      </c>
      <c r="I325" s="65">
        <v>349974.52</v>
      </c>
      <c r="J325" s="65">
        <v>332.83</v>
      </c>
      <c r="K325" s="65">
        <v>993.65</v>
      </c>
    </row>
    <row r="326" spans="1:11" ht="38.25">
      <c r="A326" s="61">
        <v>4</v>
      </c>
      <c r="B326" s="62" t="s">
        <v>290</v>
      </c>
      <c r="C326" s="73" t="s">
        <v>283</v>
      </c>
      <c r="D326" s="63" t="s">
        <v>284</v>
      </c>
      <c r="E326" s="64" t="s">
        <v>291</v>
      </c>
      <c r="F326" s="65">
        <v>227218.47</v>
      </c>
      <c r="G326" s="65">
        <v>188.41</v>
      </c>
      <c r="H326" s="65">
        <v>578.66</v>
      </c>
      <c r="I326" s="65">
        <v>201425.05</v>
      </c>
      <c r="J326" s="65">
        <v>232.9</v>
      </c>
      <c r="K326" s="65">
        <v>633.85</v>
      </c>
    </row>
    <row r="327" spans="1:11" ht="38.25">
      <c r="A327" s="61">
        <v>5</v>
      </c>
      <c r="B327" s="62" t="s">
        <v>292</v>
      </c>
      <c r="C327" s="73" t="s">
        <v>283</v>
      </c>
      <c r="D327" s="63" t="s">
        <v>284</v>
      </c>
      <c r="E327" s="64" t="s">
        <v>293</v>
      </c>
      <c r="F327" s="65">
        <v>45111.68</v>
      </c>
      <c r="G327" s="65">
        <v>25.58</v>
      </c>
      <c r="H327" s="65">
        <v>121.5</v>
      </c>
      <c r="I327" s="65">
        <v>39189.68</v>
      </c>
      <c r="J327" s="65">
        <v>25.36</v>
      </c>
      <c r="K327" s="65">
        <v>111.57</v>
      </c>
    </row>
    <row r="328" spans="1:11" ht="38.25">
      <c r="A328" s="61">
        <v>6</v>
      </c>
      <c r="B328" s="62" t="s">
        <v>294</v>
      </c>
      <c r="C328" s="73" t="s">
        <v>283</v>
      </c>
      <c r="D328" s="63" t="s">
        <v>284</v>
      </c>
      <c r="E328" s="64" t="s">
        <v>295</v>
      </c>
      <c r="F328" s="65">
        <v>43632.79</v>
      </c>
      <c r="G328" s="65">
        <v>23.94</v>
      </c>
      <c r="H328" s="65">
        <v>106.5</v>
      </c>
      <c r="I328" s="65">
        <v>29398.71</v>
      </c>
      <c r="J328" s="65">
        <v>28.18</v>
      </c>
      <c r="K328" s="65">
        <v>109.69</v>
      </c>
    </row>
    <row r="329" spans="1:11" ht="38.25">
      <c r="A329" s="61">
        <v>7</v>
      </c>
      <c r="B329" s="62" t="s">
        <v>296</v>
      </c>
      <c r="C329" s="73" t="s">
        <v>283</v>
      </c>
      <c r="D329" s="63" t="s">
        <v>284</v>
      </c>
      <c r="E329" s="64" t="s">
        <v>297</v>
      </c>
      <c r="F329" s="65">
        <v>11332.01</v>
      </c>
      <c r="G329" s="65">
        <v>21.3</v>
      </c>
      <c r="H329" s="65">
        <v>66.43</v>
      </c>
      <c r="I329" s="65">
        <v>12276.35</v>
      </c>
      <c r="J329" s="65">
        <v>17.9</v>
      </c>
      <c r="K329" s="65">
        <v>60.92</v>
      </c>
    </row>
    <row r="330" spans="1:11" ht="38.25">
      <c r="A330" s="61">
        <v>8</v>
      </c>
      <c r="B330" s="62" t="s">
        <v>298</v>
      </c>
      <c r="C330" s="73" t="s">
        <v>283</v>
      </c>
      <c r="D330" s="63" t="s">
        <v>284</v>
      </c>
      <c r="E330" s="64" t="s">
        <v>299</v>
      </c>
      <c r="F330" s="65">
        <v>158694.67</v>
      </c>
      <c r="G330" s="65">
        <v>28.89</v>
      </c>
      <c r="H330" s="65">
        <v>425.58</v>
      </c>
      <c r="I330" s="65">
        <v>179799.15</v>
      </c>
      <c r="J330" s="65">
        <v>24.15</v>
      </c>
      <c r="K330" s="65">
        <v>420.11</v>
      </c>
    </row>
    <row r="331" spans="1:11" ht="38.25">
      <c r="A331" s="61">
        <v>9</v>
      </c>
      <c r="B331" s="62" t="s">
        <v>300</v>
      </c>
      <c r="C331" s="73" t="s">
        <v>283</v>
      </c>
      <c r="D331" s="63" t="s">
        <v>284</v>
      </c>
      <c r="E331" s="64" t="s">
        <v>301</v>
      </c>
      <c r="F331" s="65">
        <v>45982.29</v>
      </c>
      <c r="G331" s="65">
        <v>21.39</v>
      </c>
      <c r="H331" s="65">
        <v>93.54</v>
      </c>
      <c r="I331" s="65">
        <v>46757.04</v>
      </c>
      <c r="J331" s="65">
        <v>22.03</v>
      </c>
      <c r="K331" s="65">
        <v>96.56</v>
      </c>
    </row>
    <row r="332" spans="1:11" ht="38.25">
      <c r="A332" s="61">
        <v>10</v>
      </c>
      <c r="B332" s="62" t="s">
        <v>302</v>
      </c>
      <c r="C332" s="73" t="s">
        <v>283</v>
      </c>
      <c r="D332" s="63" t="s">
        <v>284</v>
      </c>
      <c r="E332" s="64" t="s">
        <v>303</v>
      </c>
      <c r="F332" s="65">
        <v>62240.261</v>
      </c>
      <c r="G332" s="65">
        <v>0.084</v>
      </c>
      <c r="H332" s="65">
        <v>115.292</v>
      </c>
      <c r="I332" s="65">
        <v>64780.68</v>
      </c>
      <c r="J332" s="65">
        <v>0.0803</v>
      </c>
      <c r="K332" s="65">
        <v>115.288</v>
      </c>
    </row>
    <row r="333" spans="1:11" ht="30.75" customHeight="1">
      <c r="A333" s="61">
        <v>11</v>
      </c>
      <c r="B333" s="62" t="s">
        <v>304</v>
      </c>
      <c r="C333" s="73" t="s">
        <v>283</v>
      </c>
      <c r="D333" s="63" t="s">
        <v>284</v>
      </c>
      <c r="E333" s="64" t="s">
        <v>305</v>
      </c>
      <c r="F333" s="65">
        <v>55833.26</v>
      </c>
      <c r="G333" s="65">
        <v>111.87</v>
      </c>
      <c r="H333" s="65">
        <v>491.79</v>
      </c>
      <c r="I333" s="65">
        <v>52460.2</v>
      </c>
      <c r="J333" s="65">
        <v>139.13</v>
      </c>
      <c r="K333" s="65">
        <v>531.59</v>
      </c>
    </row>
    <row r="334" spans="1:11" ht="38.25">
      <c r="A334" s="61">
        <v>12</v>
      </c>
      <c r="B334" s="62" t="s">
        <v>306</v>
      </c>
      <c r="C334" s="73" t="s">
        <v>283</v>
      </c>
      <c r="D334" s="63" t="s">
        <v>284</v>
      </c>
      <c r="E334" s="64" t="s">
        <v>37</v>
      </c>
      <c r="F334" s="65">
        <v>32079.82</v>
      </c>
      <c r="G334" s="65">
        <v>24.64</v>
      </c>
      <c r="H334" s="65">
        <v>97.48</v>
      </c>
      <c r="I334" s="65">
        <v>32807.7</v>
      </c>
      <c r="J334" s="65">
        <v>22.18</v>
      </c>
      <c r="K334" s="65">
        <v>95.02</v>
      </c>
    </row>
    <row r="335" spans="1:11" ht="38.25">
      <c r="A335" s="61">
        <v>13</v>
      </c>
      <c r="B335" s="62" t="s">
        <v>307</v>
      </c>
      <c r="C335" s="73" t="s">
        <v>283</v>
      </c>
      <c r="D335" s="63" t="s">
        <v>284</v>
      </c>
      <c r="E335" s="64" t="s">
        <v>308</v>
      </c>
      <c r="F335" s="65">
        <v>142448.94</v>
      </c>
      <c r="G335" s="65">
        <v>28.13</v>
      </c>
      <c r="H335" s="65">
        <v>247.27</v>
      </c>
      <c r="I335" s="65">
        <v>145037</v>
      </c>
      <c r="J335" s="65">
        <v>25.93</v>
      </c>
      <c r="K335" s="65">
        <v>244.95</v>
      </c>
    </row>
    <row r="336" spans="1:11" ht="38.25">
      <c r="A336" s="61">
        <v>14</v>
      </c>
      <c r="B336" s="62" t="s">
        <v>309</v>
      </c>
      <c r="C336" s="73" t="s">
        <v>283</v>
      </c>
      <c r="D336" s="63" t="s">
        <v>284</v>
      </c>
      <c r="E336" s="64" t="s">
        <v>310</v>
      </c>
      <c r="F336" s="65">
        <v>96527.93</v>
      </c>
      <c r="G336" s="65">
        <v>94.12</v>
      </c>
      <c r="H336" s="65">
        <v>284.07</v>
      </c>
      <c r="I336" s="65">
        <v>96382.97</v>
      </c>
      <c r="J336" s="65">
        <v>119.39</v>
      </c>
      <c r="K336" s="65">
        <v>309.03</v>
      </c>
    </row>
    <row r="337" spans="1:11" ht="38.25">
      <c r="A337" s="61">
        <v>15</v>
      </c>
      <c r="B337" s="62" t="s">
        <v>311</v>
      </c>
      <c r="C337" s="73" t="s">
        <v>283</v>
      </c>
      <c r="D337" s="63" t="s">
        <v>284</v>
      </c>
      <c r="E337" s="64" t="s">
        <v>312</v>
      </c>
      <c r="F337" s="65">
        <v>25089.92</v>
      </c>
      <c r="G337" s="65">
        <v>90.56</v>
      </c>
      <c r="H337" s="65">
        <v>334.35</v>
      </c>
      <c r="I337" s="65">
        <v>25084.9</v>
      </c>
      <c r="J337" s="65">
        <v>86.57</v>
      </c>
      <c r="K337" s="65">
        <v>330.37</v>
      </c>
    </row>
    <row r="338" spans="1:11" ht="25.5">
      <c r="A338" s="61">
        <v>16</v>
      </c>
      <c r="B338" s="62" t="s">
        <v>313</v>
      </c>
      <c r="C338" s="73" t="s">
        <v>283</v>
      </c>
      <c r="D338" s="63" t="s">
        <v>284</v>
      </c>
      <c r="E338" s="64" t="s">
        <v>314</v>
      </c>
      <c r="F338" s="65">
        <v>795620.48</v>
      </c>
      <c r="G338" s="65">
        <v>235.68</v>
      </c>
      <c r="H338" s="65">
        <v>1621.14</v>
      </c>
      <c r="I338" s="65">
        <v>798594.99</v>
      </c>
      <c r="J338" s="65">
        <v>209.25</v>
      </c>
      <c r="K338" s="65">
        <v>1583.54</v>
      </c>
    </row>
    <row r="339" spans="1:11" ht="25.5">
      <c r="A339" s="61">
        <v>17</v>
      </c>
      <c r="B339" s="62" t="s">
        <v>315</v>
      </c>
      <c r="C339" s="73" t="s">
        <v>283</v>
      </c>
      <c r="D339" s="63" t="s">
        <v>284</v>
      </c>
      <c r="E339" s="64" t="s">
        <v>316</v>
      </c>
      <c r="F339" s="65">
        <v>116138.5</v>
      </c>
      <c r="G339" s="65">
        <v>280.4</v>
      </c>
      <c r="H339" s="65">
        <v>558.39</v>
      </c>
      <c r="I339" s="65">
        <v>116125.85</v>
      </c>
      <c r="J339" s="65">
        <v>268.18</v>
      </c>
      <c r="K339" s="65">
        <v>546.14</v>
      </c>
    </row>
    <row r="340" spans="1:11" ht="25.5">
      <c r="A340" s="61">
        <v>18</v>
      </c>
      <c r="B340" s="97" t="s">
        <v>317</v>
      </c>
      <c r="C340" s="98" t="s">
        <v>283</v>
      </c>
      <c r="D340" s="99" t="s">
        <v>284</v>
      </c>
      <c r="E340" s="100" t="s">
        <v>318</v>
      </c>
      <c r="F340" s="87">
        <v>495746.88</v>
      </c>
      <c r="G340" s="87">
        <v>207.08</v>
      </c>
      <c r="H340" s="87">
        <v>1042.49</v>
      </c>
      <c r="I340" s="87">
        <v>491457.21</v>
      </c>
      <c r="J340" s="87">
        <v>181.04</v>
      </c>
      <c r="K340" s="87">
        <v>1009.25</v>
      </c>
    </row>
    <row r="341" spans="1:11" ht="24" customHeight="1">
      <c r="A341" s="117">
        <v>19</v>
      </c>
      <c r="B341" s="62" t="s">
        <v>319</v>
      </c>
      <c r="C341" s="73" t="s">
        <v>283</v>
      </c>
      <c r="D341" s="63" t="s">
        <v>284</v>
      </c>
      <c r="E341" s="144" t="s">
        <v>320</v>
      </c>
      <c r="F341" s="65">
        <v>612227.35</v>
      </c>
      <c r="G341" s="65">
        <v>68.14</v>
      </c>
      <c r="H341" s="65">
        <v>1030.94</v>
      </c>
      <c r="I341" s="65">
        <v>595059.43</v>
      </c>
      <c r="J341" s="65">
        <v>65.1</v>
      </c>
      <c r="K341" s="65">
        <v>1027.9</v>
      </c>
    </row>
    <row r="342" spans="1:11" ht="24" customHeight="1">
      <c r="A342" s="118"/>
      <c r="B342" s="62" t="s">
        <v>612</v>
      </c>
      <c r="C342" s="73" t="s">
        <v>444</v>
      </c>
      <c r="D342" s="62" t="s">
        <v>613</v>
      </c>
      <c r="E342" s="145"/>
      <c r="F342" s="65">
        <v>329609.56</v>
      </c>
      <c r="G342" s="65">
        <v>404.47</v>
      </c>
      <c r="H342" s="65">
        <v>1030.94</v>
      </c>
      <c r="I342" s="65">
        <v>99071.67</v>
      </c>
      <c r="J342" s="65">
        <v>384.09</v>
      </c>
      <c r="K342" s="65">
        <v>572.39</v>
      </c>
    </row>
    <row r="343" spans="1:11" ht="24" customHeight="1">
      <c r="A343" s="119"/>
      <c r="B343" s="62" t="s">
        <v>614</v>
      </c>
      <c r="C343" s="92" t="s">
        <v>615</v>
      </c>
      <c r="D343" s="62" t="s">
        <v>616</v>
      </c>
      <c r="E343" s="146"/>
      <c r="F343" s="101">
        <v>329609.56</v>
      </c>
      <c r="G343" s="101">
        <v>404.47</v>
      </c>
      <c r="H343" s="101">
        <v>1030.94</v>
      </c>
      <c r="I343" s="101">
        <v>315635.67</v>
      </c>
      <c r="J343" s="101">
        <v>384.09</v>
      </c>
      <c r="K343" s="101">
        <v>984.01</v>
      </c>
    </row>
    <row r="344" spans="1:11" ht="29.25" customHeight="1">
      <c r="A344" s="78">
        <v>20</v>
      </c>
      <c r="B344" s="62" t="s">
        <v>445</v>
      </c>
      <c r="C344" s="92" t="s">
        <v>283</v>
      </c>
      <c r="D344" s="62" t="s">
        <v>284</v>
      </c>
      <c r="E344" s="62" t="s">
        <v>446</v>
      </c>
      <c r="F344" s="65">
        <v>28761.64</v>
      </c>
      <c r="G344" s="65"/>
      <c r="H344" s="65">
        <v>112.52</v>
      </c>
      <c r="I344" s="65">
        <v>30131.24</v>
      </c>
      <c r="J344" s="65"/>
      <c r="K344" s="65">
        <v>132.13</v>
      </c>
    </row>
    <row r="345" spans="1:11" ht="24" customHeight="1">
      <c r="A345" s="78">
        <v>21</v>
      </c>
      <c r="B345" s="62" t="s">
        <v>447</v>
      </c>
      <c r="C345" s="92" t="s">
        <v>448</v>
      </c>
      <c r="D345" s="62" t="s">
        <v>449</v>
      </c>
      <c r="E345" s="62" t="s">
        <v>450</v>
      </c>
      <c r="F345" s="65">
        <v>388911.39</v>
      </c>
      <c r="G345" s="65">
        <v>96.33</v>
      </c>
      <c r="H345" s="65">
        <v>787.72</v>
      </c>
      <c r="I345" s="65">
        <v>388911.39</v>
      </c>
      <c r="J345" s="65">
        <v>92.03</v>
      </c>
      <c r="K345" s="65">
        <v>783.42</v>
      </c>
    </row>
    <row r="346" spans="1:11" ht="24" customHeight="1">
      <c r="A346" s="78">
        <v>22</v>
      </c>
      <c r="B346" s="62" t="s">
        <v>451</v>
      </c>
      <c r="C346" s="92" t="s">
        <v>452</v>
      </c>
      <c r="D346" s="62" t="s">
        <v>453</v>
      </c>
      <c r="E346" s="62" t="s">
        <v>454</v>
      </c>
      <c r="F346" s="65">
        <v>245030.95</v>
      </c>
      <c r="G346" s="65">
        <v>409.12</v>
      </c>
      <c r="H346" s="65">
        <v>851.21</v>
      </c>
      <c r="I346" s="65">
        <v>245030.95</v>
      </c>
      <c r="J346" s="65">
        <v>390.86</v>
      </c>
      <c r="K346" s="65">
        <v>832.95</v>
      </c>
    </row>
    <row r="347" spans="1:11" ht="24" customHeight="1">
      <c r="A347" s="78">
        <v>23</v>
      </c>
      <c r="B347" s="62" t="s">
        <v>455</v>
      </c>
      <c r="C347" s="92" t="s">
        <v>452</v>
      </c>
      <c r="D347" s="62" t="s">
        <v>453</v>
      </c>
      <c r="E347" s="62" t="s">
        <v>456</v>
      </c>
      <c r="F347" s="65">
        <v>102518.45</v>
      </c>
      <c r="G347" s="65">
        <v>99.56</v>
      </c>
      <c r="H347" s="65">
        <v>344.96</v>
      </c>
      <c r="I347" s="65">
        <v>102518.45</v>
      </c>
      <c r="J347" s="65">
        <v>95.11</v>
      </c>
      <c r="K347" s="65">
        <v>340.52</v>
      </c>
    </row>
    <row r="348" spans="1:11" ht="12.75">
      <c r="A348" s="106" t="s">
        <v>374</v>
      </c>
      <c r="B348" s="107"/>
      <c r="C348" s="107"/>
      <c r="D348" s="107"/>
      <c r="E348" s="107"/>
      <c r="F348" s="107"/>
      <c r="G348" s="107"/>
      <c r="H348" s="107"/>
      <c r="I348" s="107"/>
      <c r="J348" s="107"/>
      <c r="K348" s="108"/>
    </row>
    <row r="349" spans="1:11" ht="25.5">
      <c r="A349" s="61">
        <v>1</v>
      </c>
      <c r="B349" s="62" t="s">
        <v>517</v>
      </c>
      <c r="C349" s="73" t="s">
        <v>518</v>
      </c>
      <c r="D349" s="63" t="s">
        <v>322</v>
      </c>
      <c r="E349" s="64" t="s">
        <v>323</v>
      </c>
      <c r="F349" s="65">
        <f>233.88969*1000</f>
        <v>233889.69</v>
      </c>
      <c r="G349" s="65">
        <f>0.32006*1000</f>
        <v>320.06</v>
      </c>
      <c r="H349" s="65">
        <f>0.6264*1000</f>
        <v>626.4</v>
      </c>
      <c r="I349" s="65">
        <f>233.88969*1000</f>
        <v>233889.69</v>
      </c>
      <c r="J349" s="65">
        <f>0.30294*1000</f>
        <v>302.94</v>
      </c>
      <c r="K349" s="65">
        <f>0.6264*1000</f>
        <v>626.4</v>
      </c>
    </row>
    <row r="350" spans="1:11" ht="25.5">
      <c r="A350" s="61">
        <v>2</v>
      </c>
      <c r="B350" s="62" t="s">
        <v>517</v>
      </c>
      <c r="C350" s="73" t="s">
        <v>518</v>
      </c>
      <c r="D350" s="63" t="s">
        <v>322</v>
      </c>
      <c r="E350" s="64" t="s">
        <v>324</v>
      </c>
      <c r="F350" s="65">
        <f>53.91884*1000</f>
        <v>53918.840000000004</v>
      </c>
      <c r="G350" s="65">
        <f>0*1000</f>
        <v>0</v>
      </c>
      <c r="H350" s="65">
        <f>0.11688*1000</f>
        <v>116.88</v>
      </c>
      <c r="I350" s="65">
        <f>53.91884*1000</f>
        <v>53918.840000000004</v>
      </c>
      <c r="J350" s="65">
        <v>0</v>
      </c>
      <c r="K350" s="65">
        <f>0.11688*1000</f>
        <v>116.88</v>
      </c>
    </row>
    <row r="351" spans="1:11" ht="25.5">
      <c r="A351" s="61">
        <v>3</v>
      </c>
      <c r="B351" s="62" t="s">
        <v>517</v>
      </c>
      <c r="C351" s="73" t="s">
        <v>518</v>
      </c>
      <c r="D351" s="63" t="s">
        <v>322</v>
      </c>
      <c r="E351" s="64" t="s">
        <v>325</v>
      </c>
      <c r="F351" s="65">
        <f>351.68477*1000</f>
        <v>351684.77</v>
      </c>
      <c r="G351" s="65">
        <f>0*1000</f>
        <v>0</v>
      </c>
      <c r="H351" s="65">
        <f>1.42652*1000</f>
        <v>1426.52</v>
      </c>
      <c r="I351" s="65">
        <f>351.68477*1000</f>
        <v>351684.77</v>
      </c>
      <c r="J351" s="65">
        <v>0</v>
      </c>
      <c r="K351" s="65">
        <f>1.42652*1000</f>
        <v>1426.52</v>
      </c>
    </row>
    <row r="352" spans="1:11" ht="25.5">
      <c r="A352" s="61">
        <v>4</v>
      </c>
      <c r="B352" s="62" t="s">
        <v>517</v>
      </c>
      <c r="C352" s="73" t="s">
        <v>518</v>
      </c>
      <c r="D352" s="63" t="s">
        <v>322</v>
      </c>
      <c r="E352" s="64" t="s">
        <v>326</v>
      </c>
      <c r="F352" s="65">
        <f>1.3431*1000</f>
        <v>1343.1</v>
      </c>
      <c r="G352" s="65">
        <f>0.03495*1000</f>
        <v>34.95</v>
      </c>
      <c r="H352" s="65">
        <f>0.03781*1000</f>
        <v>37.81</v>
      </c>
      <c r="I352" s="65">
        <f>1.3431*1000</f>
        <v>1343.1</v>
      </c>
      <c r="J352" s="65">
        <f>0.04066*1000</f>
        <v>40.660000000000004</v>
      </c>
      <c r="K352" s="65">
        <f>0.04418*1000</f>
        <v>44.18</v>
      </c>
    </row>
    <row r="353" spans="1:11" ht="25.5">
      <c r="A353" s="61">
        <v>5</v>
      </c>
      <c r="B353" s="62" t="s">
        <v>517</v>
      </c>
      <c r="C353" s="73" t="s">
        <v>518</v>
      </c>
      <c r="D353" s="63" t="s">
        <v>322</v>
      </c>
      <c r="E353" s="64" t="s">
        <v>327</v>
      </c>
      <c r="F353" s="65">
        <f>13.12332*1000</f>
        <v>13123.32</v>
      </c>
      <c r="G353" s="65">
        <f>0.0615*1000</f>
        <v>61.5</v>
      </c>
      <c r="H353" s="65">
        <f>0.16989*1000</f>
        <v>169.89000000000001</v>
      </c>
      <c r="I353" s="65">
        <f>13.12332*1000</f>
        <v>13123.32</v>
      </c>
      <c r="J353" s="65">
        <f>0.0882*1000</f>
        <v>88.2</v>
      </c>
      <c r="K353" s="65">
        <f>0.16989*1000</f>
        <v>169.89000000000001</v>
      </c>
    </row>
    <row r="354" spans="1:11" ht="25.5">
      <c r="A354" s="61">
        <v>6</v>
      </c>
      <c r="B354" s="62" t="s">
        <v>517</v>
      </c>
      <c r="C354" s="73" t="s">
        <v>518</v>
      </c>
      <c r="D354" s="63" t="s">
        <v>322</v>
      </c>
      <c r="E354" s="64" t="s">
        <v>328</v>
      </c>
      <c r="F354" s="65">
        <f>97.98112*1000</f>
        <v>97981.12000000001</v>
      </c>
      <c r="G354" s="65">
        <f>0.08226*1000</f>
        <v>82.26</v>
      </c>
      <c r="H354" s="65">
        <f>0.34541*1000</f>
        <v>345.40999999999997</v>
      </c>
      <c r="I354" s="65">
        <f>97.98112*1000</f>
        <v>97981.12000000001</v>
      </c>
      <c r="J354" s="65">
        <f>0.08035*1000</f>
        <v>80.35000000000001</v>
      </c>
      <c r="K354" s="65">
        <f>0.34541*1000</f>
        <v>345.40999999999997</v>
      </c>
    </row>
    <row r="355" spans="1:11" ht="25.5">
      <c r="A355" s="61">
        <v>7</v>
      </c>
      <c r="B355" s="62" t="s">
        <v>517</v>
      </c>
      <c r="C355" s="73" t="s">
        <v>518</v>
      </c>
      <c r="D355" s="63" t="s">
        <v>322</v>
      </c>
      <c r="E355" s="64" t="s">
        <v>329</v>
      </c>
      <c r="F355" s="65">
        <f>96.92532*1000</f>
        <v>96925.31999999999</v>
      </c>
      <c r="G355" s="65">
        <f>0.02879*1000</f>
        <v>28.79</v>
      </c>
      <c r="H355" s="65">
        <f>0.38986*1000</f>
        <v>389.85999999999996</v>
      </c>
      <c r="I355" s="65">
        <f>96.92532*1000</f>
        <v>96925.31999999999</v>
      </c>
      <c r="J355" s="65">
        <f>0.0463*1000</f>
        <v>46.300000000000004</v>
      </c>
      <c r="K355" s="65">
        <f>0.38986*1000</f>
        <v>389.85999999999996</v>
      </c>
    </row>
    <row r="356" spans="1:11" ht="25.5">
      <c r="A356" s="61">
        <v>8</v>
      </c>
      <c r="B356" s="62" t="s">
        <v>517</v>
      </c>
      <c r="C356" s="73" t="s">
        <v>518</v>
      </c>
      <c r="D356" s="63" t="s">
        <v>322</v>
      </c>
      <c r="E356" s="64" t="s">
        <v>330</v>
      </c>
      <c r="F356" s="65">
        <f>125.28871*1000</f>
        <v>125288.70999999999</v>
      </c>
      <c r="G356" s="65">
        <f>0*1000</f>
        <v>0</v>
      </c>
      <c r="H356" s="65">
        <f>1.22713*1000</f>
        <v>1227.13</v>
      </c>
      <c r="I356" s="65">
        <f>125.28871*1000</f>
        <v>125288.70999999999</v>
      </c>
      <c r="J356" s="65">
        <v>0</v>
      </c>
      <c r="K356" s="65">
        <f>1.22713*1000</f>
        <v>1227.13</v>
      </c>
    </row>
    <row r="357" spans="1:11" ht="25.5">
      <c r="A357" s="61">
        <v>9</v>
      </c>
      <c r="B357" s="62" t="s">
        <v>517</v>
      </c>
      <c r="C357" s="73" t="s">
        <v>518</v>
      </c>
      <c r="D357" s="63" t="s">
        <v>322</v>
      </c>
      <c r="E357" s="64" t="s">
        <v>331</v>
      </c>
      <c r="F357" s="65">
        <f>40.83198*1000</f>
        <v>40831.98</v>
      </c>
      <c r="G357" s="65">
        <f>0*1000</f>
        <v>0</v>
      </c>
      <c r="H357" s="65">
        <f>0.53311*1000</f>
        <v>533.11</v>
      </c>
      <c r="I357" s="65">
        <f>40.83198*1000</f>
        <v>40831.98</v>
      </c>
      <c r="J357" s="65">
        <v>0</v>
      </c>
      <c r="K357" s="65">
        <f>0.53311*1000</f>
        <v>533.11</v>
      </c>
    </row>
    <row r="358" spans="1:11" ht="25.5">
      <c r="A358" s="61">
        <v>10</v>
      </c>
      <c r="B358" s="62" t="s">
        <v>517</v>
      </c>
      <c r="C358" s="73" t="s">
        <v>518</v>
      </c>
      <c r="D358" s="63" t="s">
        <v>322</v>
      </c>
      <c r="E358" s="64" t="s">
        <v>332</v>
      </c>
      <c r="F358" s="65">
        <f>575.93752*1000</f>
        <v>575937.5199999999</v>
      </c>
      <c r="G358" s="65">
        <v>0.11845</v>
      </c>
      <c r="H358" s="65">
        <f>1.24731*1000</f>
        <v>1247.31</v>
      </c>
      <c r="I358" s="65">
        <f>575.93752*1000</f>
        <v>575937.5199999999</v>
      </c>
      <c r="J358" s="65">
        <f>0.13188*1000</f>
        <v>131.88</v>
      </c>
      <c r="K358" s="65">
        <f>1.24731*1000</f>
        <v>1247.31</v>
      </c>
    </row>
    <row r="359" spans="1:11" ht="25.5">
      <c r="A359" s="61">
        <v>11</v>
      </c>
      <c r="B359" s="62" t="s">
        <v>517</v>
      </c>
      <c r="C359" s="73" t="s">
        <v>518</v>
      </c>
      <c r="D359" s="63" t="s">
        <v>322</v>
      </c>
      <c r="E359" s="64" t="s">
        <v>333</v>
      </c>
      <c r="F359" s="65">
        <f>178.75754*1000</f>
        <v>178757.54</v>
      </c>
      <c r="G359" s="65">
        <f>0*1000</f>
        <v>0</v>
      </c>
      <c r="H359" s="65">
        <f>0.41838*1000</f>
        <v>418.38</v>
      </c>
      <c r="I359" s="65">
        <f>178.75754*1000</f>
        <v>178757.54</v>
      </c>
      <c r="J359" s="65">
        <v>0</v>
      </c>
      <c r="K359" s="65">
        <f>0.41838*1000</f>
        <v>418.38</v>
      </c>
    </row>
    <row r="360" spans="1:11" ht="25.5">
      <c r="A360" s="61">
        <v>12</v>
      </c>
      <c r="B360" s="62" t="s">
        <v>517</v>
      </c>
      <c r="C360" s="73" t="s">
        <v>518</v>
      </c>
      <c r="D360" s="63" t="s">
        <v>322</v>
      </c>
      <c r="E360" s="64" t="s">
        <v>334</v>
      </c>
      <c r="F360" s="65">
        <f>36.86803*1000</f>
        <v>36868.03</v>
      </c>
      <c r="G360" s="65">
        <f>0.05028*1000</f>
        <v>50.28</v>
      </c>
      <c r="H360" s="65">
        <f>0.16445*1000</f>
        <v>164.45000000000002</v>
      </c>
      <c r="I360" s="65">
        <f>36.86803*1000</f>
        <v>36868.03</v>
      </c>
      <c r="J360" s="65">
        <f>0.05471*1000</f>
        <v>54.71</v>
      </c>
      <c r="K360" s="65">
        <f>0.16445*1000</f>
        <v>164.45000000000002</v>
      </c>
    </row>
    <row r="361" spans="1:11" ht="25.5">
      <c r="A361" s="61">
        <v>13</v>
      </c>
      <c r="B361" s="62" t="s">
        <v>517</v>
      </c>
      <c r="C361" s="73" t="s">
        <v>518</v>
      </c>
      <c r="D361" s="63" t="s">
        <v>322</v>
      </c>
      <c r="E361" s="64" t="s">
        <v>335</v>
      </c>
      <c r="F361" s="65">
        <f>83.37274*1000</f>
        <v>83372.73999999999</v>
      </c>
      <c r="G361" s="65">
        <f>0.05052*1000</f>
        <v>50.52</v>
      </c>
      <c r="H361" s="65">
        <f>0.20478*1000</f>
        <v>204.78</v>
      </c>
      <c r="I361" s="65">
        <f>83.37274*1000</f>
        <v>83372.73999999999</v>
      </c>
      <c r="J361" s="65">
        <f>0.04884*1000</f>
        <v>48.84</v>
      </c>
      <c r="K361" s="65">
        <f>0.20478*1000</f>
        <v>204.78</v>
      </c>
    </row>
    <row r="362" spans="1:11" ht="25.5">
      <c r="A362" s="61">
        <v>14</v>
      </c>
      <c r="B362" s="62" t="s">
        <v>517</v>
      </c>
      <c r="C362" s="73" t="s">
        <v>518</v>
      </c>
      <c r="D362" s="63" t="s">
        <v>322</v>
      </c>
      <c r="E362" s="64" t="s">
        <v>336</v>
      </c>
      <c r="F362" s="65">
        <f>67.24938*1000</f>
        <v>67249.38</v>
      </c>
      <c r="G362" s="65">
        <f>0.10504*1000</f>
        <v>105.03999999999999</v>
      </c>
      <c r="H362" s="65">
        <f>0.27049*1000</f>
        <v>270.49</v>
      </c>
      <c r="I362" s="65">
        <f>67.24938*1000</f>
        <v>67249.38</v>
      </c>
      <c r="J362" s="65">
        <f>0.0834*1000</f>
        <v>83.4</v>
      </c>
      <c r="K362" s="65">
        <f>0.27049*1000</f>
        <v>270.49</v>
      </c>
    </row>
    <row r="363" spans="1:11" ht="38.25">
      <c r="A363" s="61">
        <v>15</v>
      </c>
      <c r="B363" s="62" t="s">
        <v>517</v>
      </c>
      <c r="C363" s="73" t="s">
        <v>518</v>
      </c>
      <c r="D363" s="63" t="s">
        <v>322</v>
      </c>
      <c r="E363" s="64" t="s">
        <v>337</v>
      </c>
      <c r="F363" s="65">
        <f>53.57458*1000</f>
        <v>53574.579999999994</v>
      </c>
      <c r="G363" s="65">
        <f>0.28352*1000</f>
        <v>283.52</v>
      </c>
      <c r="H363" s="65">
        <f>1.20927*1000</f>
        <v>1209.27</v>
      </c>
      <c r="I363" s="65">
        <f>53.57458*1000</f>
        <v>53574.579999999994</v>
      </c>
      <c r="J363" s="65">
        <f>0.28801*1000</f>
        <v>288.01</v>
      </c>
      <c r="K363" s="65">
        <f>1.20927*1000</f>
        <v>1209.27</v>
      </c>
    </row>
    <row r="364" spans="1:11" ht="25.5">
      <c r="A364" s="61">
        <v>16</v>
      </c>
      <c r="B364" s="62" t="s">
        <v>517</v>
      </c>
      <c r="C364" s="73" t="s">
        <v>518</v>
      </c>
      <c r="D364" s="63" t="s">
        <v>322</v>
      </c>
      <c r="E364" s="64" t="s">
        <v>338</v>
      </c>
      <c r="F364" s="65">
        <f>436.80263*1000</f>
        <v>436802.63</v>
      </c>
      <c r="G364" s="65">
        <f>0.06581*1000</f>
        <v>65.80999999999999</v>
      </c>
      <c r="H364" s="65">
        <f>0.22973*1000</f>
        <v>229.73</v>
      </c>
      <c r="I364" s="65">
        <f>436.80263*1000</f>
        <v>436802.63</v>
      </c>
      <c r="J364" s="65">
        <f>0.06648*1000</f>
        <v>66.48</v>
      </c>
      <c r="K364" s="65">
        <f>0.22973*1000</f>
        <v>229.73</v>
      </c>
    </row>
    <row r="365" spans="1:11" ht="25.5">
      <c r="A365" s="61">
        <v>17</v>
      </c>
      <c r="B365" s="62" t="s">
        <v>517</v>
      </c>
      <c r="C365" s="73" t="s">
        <v>518</v>
      </c>
      <c r="D365" s="63" t="s">
        <v>322</v>
      </c>
      <c r="E365" s="64" t="s">
        <v>339</v>
      </c>
      <c r="F365" s="65">
        <f>648.44253*1000</f>
        <v>648442.53</v>
      </c>
      <c r="G365" s="65">
        <f>0.47441*1000</f>
        <v>474.41</v>
      </c>
      <c r="H365" s="65">
        <f>1.74363*1000</f>
        <v>1743.63</v>
      </c>
      <c r="I365" s="65">
        <f>648.44253*1000</f>
        <v>648442.53</v>
      </c>
      <c r="J365" s="65">
        <f>0.40403*1000</f>
        <v>404.03</v>
      </c>
      <c r="K365" s="65">
        <f>1.74363*1000</f>
        <v>1743.63</v>
      </c>
    </row>
    <row r="366" spans="1:11" ht="25.5">
      <c r="A366" s="61">
        <v>18</v>
      </c>
      <c r="B366" s="62" t="s">
        <v>517</v>
      </c>
      <c r="C366" s="73" t="s">
        <v>518</v>
      </c>
      <c r="D366" s="63" t="s">
        <v>322</v>
      </c>
      <c r="E366" s="64" t="s">
        <v>340</v>
      </c>
      <c r="F366" s="65">
        <f>283.29833*1000</f>
        <v>283298.33</v>
      </c>
      <c r="G366" s="65">
        <f>0.53194*1000</f>
        <v>531.9399999999999</v>
      </c>
      <c r="H366" s="65">
        <f>0.9829*1000</f>
        <v>982.9</v>
      </c>
      <c r="I366" s="65">
        <f>283.29833*1000</f>
        <v>283298.33</v>
      </c>
      <c r="J366" s="65">
        <f>0.49519*1000</f>
        <v>495.19</v>
      </c>
      <c r="K366" s="65">
        <f>0.9829*1000</f>
        <v>982.9</v>
      </c>
    </row>
    <row r="367" spans="1:11" ht="25.5">
      <c r="A367" s="61">
        <v>19</v>
      </c>
      <c r="B367" s="62" t="s">
        <v>517</v>
      </c>
      <c r="C367" s="73" t="s">
        <v>518</v>
      </c>
      <c r="D367" s="63" t="s">
        <v>322</v>
      </c>
      <c r="E367" s="64" t="s">
        <v>341</v>
      </c>
      <c r="F367" s="65">
        <f>140.9762*1000</f>
        <v>140976.2</v>
      </c>
      <c r="G367" s="65">
        <f>0.01357*1000</f>
        <v>13.57</v>
      </c>
      <c r="H367" s="65">
        <f>0.1454*1000</f>
        <v>145.4</v>
      </c>
      <c r="I367" s="65">
        <f>140.9762*1000</f>
        <v>140976.2</v>
      </c>
      <c r="J367" s="65">
        <f>0.02068*1000</f>
        <v>20.68</v>
      </c>
      <c r="K367" s="65">
        <f>0.1454*1000</f>
        <v>145.4</v>
      </c>
    </row>
    <row r="368" spans="1:11" ht="25.5">
      <c r="A368" s="61">
        <v>20</v>
      </c>
      <c r="B368" s="62" t="s">
        <v>517</v>
      </c>
      <c r="C368" s="73" t="s">
        <v>518</v>
      </c>
      <c r="D368" s="63" t="s">
        <v>322</v>
      </c>
      <c r="E368" s="64" t="s">
        <v>342</v>
      </c>
      <c r="F368" s="65">
        <f>51.12416*1000</f>
        <v>51124.16</v>
      </c>
      <c r="G368" s="65">
        <f>0.03065*1000</f>
        <v>30.65</v>
      </c>
      <c r="H368" s="65">
        <f>0.34525*1000</f>
        <v>345.25</v>
      </c>
      <c r="I368" s="65">
        <f>51.12416*1000</f>
        <v>51124.16</v>
      </c>
      <c r="J368" s="65">
        <f>0.02363*1000</f>
        <v>23.630000000000003</v>
      </c>
      <c r="K368" s="65">
        <f>0.34525*1000</f>
        <v>345.25</v>
      </c>
    </row>
    <row r="369" spans="1:11" ht="25.5">
      <c r="A369" s="61">
        <v>21</v>
      </c>
      <c r="B369" s="62" t="s">
        <v>517</v>
      </c>
      <c r="C369" s="73" t="s">
        <v>518</v>
      </c>
      <c r="D369" s="63" t="s">
        <v>322</v>
      </c>
      <c r="E369" s="64" t="s">
        <v>343</v>
      </c>
      <c r="F369" s="65">
        <f>15.24009*1000</f>
        <v>15240.09</v>
      </c>
      <c r="G369" s="65">
        <f>0.09901*1000</f>
        <v>99.01</v>
      </c>
      <c r="H369" s="65">
        <f>0.34184*1000</f>
        <v>341.84</v>
      </c>
      <c r="I369" s="65">
        <f>15.24009*1000</f>
        <v>15240.09</v>
      </c>
      <c r="J369" s="65">
        <f>0.09566*1000</f>
        <v>95.66</v>
      </c>
      <c r="K369" s="65">
        <f>0.34184*1000</f>
        <v>341.84</v>
      </c>
    </row>
    <row r="370" spans="1:11" ht="25.5">
      <c r="A370" s="61">
        <v>22</v>
      </c>
      <c r="B370" s="62" t="s">
        <v>517</v>
      </c>
      <c r="C370" s="73" t="s">
        <v>518</v>
      </c>
      <c r="D370" s="63" t="s">
        <v>322</v>
      </c>
      <c r="E370" s="64" t="s">
        <v>344</v>
      </c>
      <c r="F370" s="65">
        <f>30.15002*1000</f>
        <v>30150.02</v>
      </c>
      <c r="G370" s="65">
        <f>0*1000</f>
        <v>0</v>
      </c>
      <c r="H370" s="65">
        <f>0.01347*1000</f>
        <v>13.469999999999999</v>
      </c>
      <c r="I370" s="65">
        <f>30.15002*1000</f>
        <v>30150.02</v>
      </c>
      <c r="J370" s="65">
        <v>0</v>
      </c>
      <c r="K370" s="65">
        <f>0.01347*1000</f>
        <v>13.469999999999999</v>
      </c>
    </row>
    <row r="371" spans="1:11" ht="25.5">
      <c r="A371" s="61">
        <v>23</v>
      </c>
      <c r="B371" s="62" t="s">
        <v>517</v>
      </c>
      <c r="C371" s="73" t="s">
        <v>518</v>
      </c>
      <c r="D371" s="63" t="s">
        <v>322</v>
      </c>
      <c r="E371" s="64" t="s">
        <v>345</v>
      </c>
      <c r="F371" s="65">
        <f>8.4906*1000</f>
        <v>8490.6</v>
      </c>
      <c r="G371" s="65">
        <f>0*1000</f>
        <v>0</v>
      </c>
      <c r="H371" s="65">
        <f>0.1055*1000</f>
        <v>105.5</v>
      </c>
      <c r="I371" s="65">
        <f>8.4906*1000</f>
        <v>8490.6</v>
      </c>
      <c r="J371" s="65">
        <v>0</v>
      </c>
      <c r="K371" s="65">
        <f>0.1055*1000</f>
        <v>105.5</v>
      </c>
    </row>
    <row r="372" spans="1:11" ht="25.5">
      <c r="A372" s="61">
        <v>24</v>
      </c>
      <c r="B372" s="62" t="s">
        <v>517</v>
      </c>
      <c r="C372" s="73" t="s">
        <v>518</v>
      </c>
      <c r="D372" s="63" t="s">
        <v>322</v>
      </c>
      <c r="E372" s="64" t="s">
        <v>346</v>
      </c>
      <c r="F372" s="65">
        <f>126.26728*1000</f>
        <v>126267.28</v>
      </c>
      <c r="G372" s="65">
        <f>0.56266*1000</f>
        <v>562.6600000000001</v>
      </c>
      <c r="H372" s="65">
        <f>1.53936*1000</f>
        <v>1539.3600000000001</v>
      </c>
      <c r="I372" s="65">
        <f>126.26728*1000</f>
        <v>126267.28</v>
      </c>
      <c r="J372" s="65">
        <f>0.49035*1000</f>
        <v>490.35</v>
      </c>
      <c r="K372" s="65">
        <f>1.53936*1000</f>
        <v>1539.3600000000001</v>
      </c>
    </row>
    <row r="373" spans="1:11" ht="25.5">
      <c r="A373" s="61">
        <v>25</v>
      </c>
      <c r="B373" s="62" t="s">
        <v>517</v>
      </c>
      <c r="C373" s="73" t="s">
        <v>518</v>
      </c>
      <c r="D373" s="63" t="s">
        <v>322</v>
      </c>
      <c r="E373" s="64" t="s">
        <v>347</v>
      </c>
      <c r="F373" s="65">
        <f>43.44228*1000</f>
        <v>43442.28</v>
      </c>
      <c r="G373" s="65">
        <f>0*1000</f>
        <v>0</v>
      </c>
      <c r="H373" s="65">
        <f>0.14202*1000</f>
        <v>142.02</v>
      </c>
      <c r="I373" s="65">
        <f>43.44228*1000</f>
        <v>43442.28</v>
      </c>
      <c r="J373" s="65">
        <v>0</v>
      </c>
      <c r="K373" s="65">
        <f>0.14202*1000</f>
        <v>142.02</v>
      </c>
    </row>
    <row r="374" spans="1:11" ht="25.5">
      <c r="A374" s="61">
        <v>26</v>
      </c>
      <c r="B374" s="62" t="s">
        <v>517</v>
      </c>
      <c r="C374" s="73" t="s">
        <v>518</v>
      </c>
      <c r="D374" s="63" t="s">
        <v>322</v>
      </c>
      <c r="E374" s="64" t="s">
        <v>348</v>
      </c>
      <c r="F374" s="65">
        <f>228.71227*1000</f>
        <v>228712.27</v>
      </c>
      <c r="G374" s="65">
        <f>0.04133*1000</f>
        <v>41.33</v>
      </c>
      <c r="H374" s="65">
        <f>0.85589*1000</f>
        <v>855.89</v>
      </c>
      <c r="I374" s="65">
        <f>228.71227*1000</f>
        <v>228712.27</v>
      </c>
      <c r="J374" s="65">
        <f>0.03862*1000</f>
        <v>38.620000000000005</v>
      </c>
      <c r="K374" s="65">
        <f>0.85589*1000</f>
        <v>855.89</v>
      </c>
    </row>
    <row r="375" spans="1:11" ht="25.5">
      <c r="A375" s="61">
        <v>27</v>
      </c>
      <c r="B375" s="62" t="s">
        <v>517</v>
      </c>
      <c r="C375" s="73" t="s">
        <v>518</v>
      </c>
      <c r="D375" s="63" t="s">
        <v>322</v>
      </c>
      <c r="E375" s="64" t="s">
        <v>349</v>
      </c>
      <c r="F375" s="65">
        <f>302.66042*1000</f>
        <v>302660.42</v>
      </c>
      <c r="G375" s="65">
        <f>0.51096*1000</f>
        <v>510.96</v>
      </c>
      <c r="H375" s="65">
        <f>1.0853*1000</f>
        <v>1085.3</v>
      </c>
      <c r="I375" s="65">
        <f>302.66042*1000</f>
        <v>302660.42</v>
      </c>
      <c r="J375" s="65">
        <f>0.39323*1000</f>
        <v>393.23</v>
      </c>
      <c r="K375" s="65">
        <f>1.0853*1000</f>
        <v>1085.3</v>
      </c>
    </row>
    <row r="376" spans="1:11" ht="25.5">
      <c r="A376" s="61">
        <v>28</v>
      </c>
      <c r="B376" s="62" t="s">
        <v>517</v>
      </c>
      <c r="C376" s="73" t="s">
        <v>518</v>
      </c>
      <c r="D376" s="63" t="s">
        <v>322</v>
      </c>
      <c r="E376" s="64" t="s">
        <v>350</v>
      </c>
      <c r="F376" s="65">
        <f>90.55966*1000</f>
        <v>90559.65999999999</v>
      </c>
      <c r="G376" s="65">
        <f>0.1696*1000</f>
        <v>169.6</v>
      </c>
      <c r="H376" s="65">
        <f>0.44993*1000</f>
        <v>449.93</v>
      </c>
      <c r="I376" s="65">
        <f>90.55966*1000</f>
        <v>90559.65999999999</v>
      </c>
      <c r="J376" s="65">
        <f>0.16321*1000</f>
        <v>163.21</v>
      </c>
      <c r="K376" s="65">
        <f>0.44993*1000</f>
        <v>449.93</v>
      </c>
    </row>
    <row r="377" spans="1:11" ht="25.5">
      <c r="A377" s="61">
        <v>29</v>
      </c>
      <c r="B377" s="62" t="s">
        <v>517</v>
      </c>
      <c r="C377" s="73" t="s">
        <v>518</v>
      </c>
      <c r="D377" s="63" t="s">
        <v>322</v>
      </c>
      <c r="E377" s="64" t="s">
        <v>351</v>
      </c>
      <c r="F377" s="65">
        <f>88.01174*1000</f>
        <v>88011.74</v>
      </c>
      <c r="G377" s="65">
        <f>0.86101*1000</f>
        <v>861.0100000000001</v>
      </c>
      <c r="H377" s="65">
        <f>1.03319*1000</f>
        <v>1033.19</v>
      </c>
      <c r="I377" s="65">
        <f>88.01174*1000</f>
        <v>88011.74</v>
      </c>
      <c r="J377" s="65">
        <f>0.65719*1000</f>
        <v>657.19</v>
      </c>
      <c r="K377" s="65">
        <f>1.03319*1000</f>
        <v>1033.19</v>
      </c>
    </row>
    <row r="378" spans="1:11" ht="25.5">
      <c r="A378" s="61">
        <v>30</v>
      </c>
      <c r="B378" s="62" t="s">
        <v>517</v>
      </c>
      <c r="C378" s="73" t="s">
        <v>518</v>
      </c>
      <c r="D378" s="63" t="s">
        <v>322</v>
      </c>
      <c r="E378" s="64" t="s">
        <v>352</v>
      </c>
      <c r="F378" s="65">
        <f>127.6146*1000</f>
        <v>127614.59999999999</v>
      </c>
      <c r="G378" s="65">
        <f>0.33322*1000</f>
        <v>333.22</v>
      </c>
      <c r="H378" s="65">
        <f>0.42703*1000</f>
        <v>427.03000000000003</v>
      </c>
      <c r="I378" s="65">
        <f>127.6146*1000</f>
        <v>127614.59999999999</v>
      </c>
      <c r="J378" s="65">
        <f>0.22182*1000</f>
        <v>221.82</v>
      </c>
      <c r="K378" s="65">
        <f>0.42703*1000</f>
        <v>427.03000000000003</v>
      </c>
    </row>
    <row r="379" spans="1:11" ht="38.25">
      <c r="A379" s="61">
        <v>31</v>
      </c>
      <c r="B379" s="62" t="s">
        <v>517</v>
      </c>
      <c r="C379" s="73" t="s">
        <v>518</v>
      </c>
      <c r="D379" s="63" t="s">
        <v>322</v>
      </c>
      <c r="E379" s="64" t="s">
        <v>353</v>
      </c>
      <c r="F379" s="65">
        <f>39.39527*1000</f>
        <v>39395.27</v>
      </c>
      <c r="G379" s="65">
        <f>0*1000</f>
        <v>0</v>
      </c>
      <c r="H379" s="65">
        <f>0.04679*1000</f>
        <v>46.79</v>
      </c>
      <c r="I379" s="65">
        <f>39.39527*1000</f>
        <v>39395.27</v>
      </c>
      <c r="J379" s="65">
        <v>0</v>
      </c>
      <c r="K379" s="65">
        <f>0.04679*1000</f>
        <v>46.79</v>
      </c>
    </row>
    <row r="380" spans="1:11" ht="25.5">
      <c r="A380" s="61">
        <v>32</v>
      </c>
      <c r="B380" s="62" t="s">
        <v>517</v>
      </c>
      <c r="C380" s="73" t="s">
        <v>518</v>
      </c>
      <c r="D380" s="63" t="s">
        <v>322</v>
      </c>
      <c r="E380" s="64" t="s">
        <v>354</v>
      </c>
      <c r="F380" s="65">
        <f>452.29931*1000</f>
        <v>452299.31</v>
      </c>
      <c r="G380" s="65">
        <f>0.79932*1000</f>
        <v>799.32</v>
      </c>
      <c r="H380" s="65">
        <f>1.23578*1000</f>
        <v>1235.7800000000002</v>
      </c>
      <c r="I380" s="65">
        <f>452.29931*1000</f>
        <v>452299.31</v>
      </c>
      <c r="J380" s="65">
        <f>0.48854*1000</f>
        <v>488.53999999999996</v>
      </c>
      <c r="K380" s="65">
        <f>1.23578*1000</f>
        <v>1235.7800000000002</v>
      </c>
    </row>
    <row r="381" spans="1:11" ht="25.5">
      <c r="A381" s="61">
        <v>33</v>
      </c>
      <c r="B381" s="62" t="s">
        <v>517</v>
      </c>
      <c r="C381" s="73" t="s">
        <v>518</v>
      </c>
      <c r="D381" s="63" t="s">
        <v>322</v>
      </c>
      <c r="E381" s="64" t="s">
        <v>355</v>
      </c>
      <c r="F381" s="65">
        <f>8.1775*1000</f>
        <v>8177.5</v>
      </c>
      <c r="G381" s="65">
        <f>0.03341*1000</f>
        <v>33.410000000000004</v>
      </c>
      <c r="H381" s="65">
        <f>0.06557*1000</f>
        <v>65.57000000000001</v>
      </c>
      <c r="I381" s="65">
        <f>8.1775*1000</f>
        <v>8177.5</v>
      </c>
      <c r="J381" s="65">
        <f>0.03164*1000</f>
        <v>31.64</v>
      </c>
      <c r="K381" s="65">
        <f>0.06557*1000</f>
        <v>65.57000000000001</v>
      </c>
    </row>
    <row r="382" spans="1:11" ht="25.5">
      <c r="A382" s="61">
        <v>34</v>
      </c>
      <c r="B382" s="62" t="s">
        <v>517</v>
      </c>
      <c r="C382" s="73" t="s">
        <v>518</v>
      </c>
      <c r="D382" s="63" t="s">
        <v>322</v>
      </c>
      <c r="E382" s="64" t="s">
        <v>356</v>
      </c>
      <c r="F382" s="65">
        <f>223.64863*1000</f>
        <v>223648.63</v>
      </c>
      <c r="G382" s="65">
        <f>0*1000</f>
        <v>0</v>
      </c>
      <c r="H382" s="65">
        <f>0.77441*1000</f>
        <v>774.4100000000001</v>
      </c>
      <c r="I382" s="65">
        <f>223.64863*1000</f>
        <v>223648.63</v>
      </c>
      <c r="J382" s="65">
        <v>0</v>
      </c>
      <c r="K382" s="65">
        <f>0.77441*1000</f>
        <v>774.4100000000001</v>
      </c>
    </row>
    <row r="383" spans="1:11" ht="25.5">
      <c r="A383" s="61">
        <v>35</v>
      </c>
      <c r="B383" s="62" t="s">
        <v>519</v>
      </c>
      <c r="C383" s="73" t="s">
        <v>518</v>
      </c>
      <c r="D383" s="63" t="s">
        <v>322</v>
      </c>
      <c r="E383" s="64" t="s">
        <v>357</v>
      </c>
      <c r="F383" s="65">
        <f>152.69567*1000</f>
        <v>152695.67</v>
      </c>
      <c r="G383" s="65">
        <f>0.05982*1000</f>
        <v>59.82</v>
      </c>
      <c r="H383" s="65">
        <f>0.46331*1000</f>
        <v>463.31</v>
      </c>
      <c r="I383" s="65">
        <f>152.69567*1000</f>
        <v>152695.67</v>
      </c>
      <c r="J383" s="65">
        <f>0.06004*1000</f>
        <v>60.040000000000006</v>
      </c>
      <c r="K383" s="65">
        <f>0.46331*1000</f>
        <v>463.31</v>
      </c>
    </row>
    <row r="384" spans="1:11" ht="25.5">
      <c r="A384" s="61">
        <v>36</v>
      </c>
      <c r="B384" s="62" t="s">
        <v>517</v>
      </c>
      <c r="C384" s="73" t="s">
        <v>518</v>
      </c>
      <c r="D384" s="63" t="s">
        <v>322</v>
      </c>
      <c r="E384" s="64" t="s">
        <v>36</v>
      </c>
      <c r="F384" s="65">
        <f>10.00561*1000</f>
        <v>10005.61</v>
      </c>
      <c r="G384" s="65">
        <f>0.01534*1000</f>
        <v>15.34</v>
      </c>
      <c r="H384" s="65">
        <f>0.02889*1000</f>
        <v>28.89</v>
      </c>
      <c r="I384" s="65">
        <f>10.00561*1000</f>
        <v>10005.61</v>
      </c>
      <c r="J384" s="65">
        <f>0.01501*1000</f>
        <v>15.010000000000002</v>
      </c>
      <c r="K384" s="65">
        <f>0.02889*1000</f>
        <v>28.89</v>
      </c>
    </row>
    <row r="385" spans="1:11" ht="25.5">
      <c r="A385" s="61">
        <v>37</v>
      </c>
      <c r="B385" s="62" t="s">
        <v>517</v>
      </c>
      <c r="C385" s="73" t="s">
        <v>518</v>
      </c>
      <c r="D385" s="63" t="s">
        <v>322</v>
      </c>
      <c r="E385" s="64" t="s">
        <v>358</v>
      </c>
      <c r="F385" s="65">
        <f>72.35318*1000</f>
        <v>72353.18</v>
      </c>
      <c r="G385" s="65">
        <f>0.17951*1000</f>
        <v>179.51</v>
      </c>
      <c r="H385" s="65">
        <f>0.59578*1000</f>
        <v>595.78</v>
      </c>
      <c r="I385" s="65">
        <f>72.35318*1000</f>
        <v>72353.18</v>
      </c>
      <c r="J385" s="65">
        <f>0.16862*1000</f>
        <v>168.62</v>
      </c>
      <c r="K385" s="65">
        <f>0.59578*1000</f>
        <v>595.78</v>
      </c>
    </row>
    <row r="386" spans="1:11" ht="25.5">
      <c r="A386" s="61">
        <v>38</v>
      </c>
      <c r="B386" s="62" t="s">
        <v>517</v>
      </c>
      <c r="C386" s="73" t="s">
        <v>518</v>
      </c>
      <c r="D386" s="63" t="s">
        <v>322</v>
      </c>
      <c r="E386" s="64" t="s">
        <v>359</v>
      </c>
      <c r="F386" s="65">
        <f>56.50698*1000</f>
        <v>56506.979999999996</v>
      </c>
      <c r="G386" s="65">
        <f>0*1000</f>
        <v>0</v>
      </c>
      <c r="H386" s="65">
        <f>0.23161*1000</f>
        <v>231.61</v>
      </c>
      <c r="I386" s="65">
        <f>56.50698*1000</f>
        <v>56506.979999999996</v>
      </c>
      <c r="J386" s="65">
        <v>0</v>
      </c>
      <c r="K386" s="65">
        <f>0.23161*1000</f>
        <v>231.61</v>
      </c>
    </row>
    <row r="387" spans="1:11" ht="25.5">
      <c r="A387" s="61">
        <v>39</v>
      </c>
      <c r="B387" s="62" t="s">
        <v>517</v>
      </c>
      <c r="C387" s="73" t="s">
        <v>518</v>
      </c>
      <c r="D387" s="63" t="s">
        <v>322</v>
      </c>
      <c r="E387" s="64" t="s">
        <v>360</v>
      </c>
      <c r="F387" s="65">
        <f>46.49541*1000</f>
        <v>46495.409999999996</v>
      </c>
      <c r="G387" s="65">
        <f>0.23451*1000</f>
        <v>234.51</v>
      </c>
      <c r="H387" s="65">
        <f>0.45087*1000</f>
        <v>450.87</v>
      </c>
      <c r="I387" s="65">
        <f>46.49541*1000</f>
        <v>46495.409999999996</v>
      </c>
      <c r="J387" s="65">
        <f>0.24431*1000</f>
        <v>244.31</v>
      </c>
      <c r="K387" s="65">
        <f>0.45087*1000</f>
        <v>450.87</v>
      </c>
    </row>
    <row r="388" spans="1:11" ht="25.5">
      <c r="A388" s="61">
        <v>40</v>
      </c>
      <c r="B388" s="62" t="s">
        <v>517</v>
      </c>
      <c r="C388" s="73" t="s">
        <v>518</v>
      </c>
      <c r="D388" s="63" t="s">
        <v>322</v>
      </c>
      <c r="E388" s="64" t="s">
        <v>361</v>
      </c>
      <c r="F388" s="65">
        <f>64.39041*1000</f>
        <v>64390.41</v>
      </c>
      <c r="G388" s="65">
        <f>0*1000</f>
        <v>0</v>
      </c>
      <c r="H388" s="65">
        <f>0.23527*1000</f>
        <v>235.27</v>
      </c>
      <c r="I388" s="65">
        <f>64.39041*1000</f>
        <v>64390.41</v>
      </c>
      <c r="J388" s="65">
        <v>0</v>
      </c>
      <c r="K388" s="65">
        <f>0.23527*1000</f>
        <v>235.27</v>
      </c>
    </row>
    <row r="389" spans="1:11" ht="25.5">
      <c r="A389" s="61">
        <v>41</v>
      </c>
      <c r="B389" s="62" t="s">
        <v>517</v>
      </c>
      <c r="C389" s="73" t="s">
        <v>518</v>
      </c>
      <c r="D389" s="63" t="s">
        <v>322</v>
      </c>
      <c r="E389" s="64" t="s">
        <v>362</v>
      </c>
      <c r="F389" s="65">
        <f>58.73828*1000</f>
        <v>58738.280000000006</v>
      </c>
      <c r="G389" s="65">
        <f>0*1000</f>
        <v>0</v>
      </c>
      <c r="H389" s="65">
        <f>0.21254*1000</f>
        <v>212.54000000000002</v>
      </c>
      <c r="I389" s="65">
        <f>58.73828*1000</f>
        <v>58738.280000000006</v>
      </c>
      <c r="J389" s="65">
        <v>0</v>
      </c>
      <c r="K389" s="65">
        <f>0.21254*1000</f>
        <v>212.54000000000002</v>
      </c>
    </row>
    <row r="390" spans="1:11" ht="25.5">
      <c r="A390" s="61">
        <v>42</v>
      </c>
      <c r="B390" s="62" t="s">
        <v>517</v>
      </c>
      <c r="C390" s="73" t="s">
        <v>518</v>
      </c>
      <c r="D390" s="63" t="s">
        <v>322</v>
      </c>
      <c r="E390" s="64" t="s">
        <v>363</v>
      </c>
      <c r="F390" s="65">
        <f>51.34116*1000</f>
        <v>51341.16</v>
      </c>
      <c r="G390" s="65">
        <f>0*1000</f>
        <v>0</v>
      </c>
      <c r="H390" s="65">
        <f>0.1031*1000</f>
        <v>103.1</v>
      </c>
      <c r="I390" s="65">
        <f>51.34116*1000</f>
        <v>51341.16</v>
      </c>
      <c r="J390" s="65">
        <v>0</v>
      </c>
      <c r="K390" s="65">
        <f>0.1031*1000</f>
        <v>103.1</v>
      </c>
    </row>
    <row r="391" spans="1:11" ht="25.5">
      <c r="A391" s="61">
        <v>43</v>
      </c>
      <c r="B391" s="62" t="s">
        <v>517</v>
      </c>
      <c r="C391" s="73" t="s">
        <v>518</v>
      </c>
      <c r="D391" s="63" t="s">
        <v>322</v>
      </c>
      <c r="E391" s="64" t="s">
        <v>364</v>
      </c>
      <c r="F391" s="65">
        <f>260.11861*1000</f>
        <v>260118.61</v>
      </c>
      <c r="G391" s="65">
        <f>0*1000</f>
        <v>0</v>
      </c>
      <c r="H391" s="65">
        <f>0.69886*1000</f>
        <v>698.86</v>
      </c>
      <c r="I391" s="65">
        <f>260.11861*1000</f>
        <v>260118.61</v>
      </c>
      <c r="J391" s="65">
        <v>0</v>
      </c>
      <c r="K391" s="65">
        <f>0.69886*1000</f>
        <v>698.86</v>
      </c>
    </row>
    <row r="392" spans="1:11" ht="25.5">
      <c r="A392" s="61">
        <v>44</v>
      </c>
      <c r="B392" s="62" t="s">
        <v>517</v>
      </c>
      <c r="C392" s="73" t="s">
        <v>518</v>
      </c>
      <c r="D392" s="63" t="s">
        <v>322</v>
      </c>
      <c r="E392" s="64" t="s">
        <v>365</v>
      </c>
      <c r="F392" s="65">
        <f>9.58987*1000</f>
        <v>9589.869999999999</v>
      </c>
      <c r="G392" s="65">
        <f>0*1000</f>
        <v>0</v>
      </c>
      <c r="H392" s="65">
        <f>0.05903*1000</f>
        <v>59.03</v>
      </c>
      <c r="I392" s="65">
        <f>9.58987*1000</f>
        <v>9589.869999999999</v>
      </c>
      <c r="J392" s="65">
        <v>0</v>
      </c>
      <c r="K392" s="65">
        <f>0.05903*1000</f>
        <v>59.03</v>
      </c>
    </row>
    <row r="393" spans="1:11" ht="25.5">
      <c r="A393" s="61">
        <v>45</v>
      </c>
      <c r="B393" s="62" t="s">
        <v>517</v>
      </c>
      <c r="C393" s="73" t="s">
        <v>518</v>
      </c>
      <c r="D393" s="63" t="s">
        <v>322</v>
      </c>
      <c r="E393" s="64" t="s">
        <v>366</v>
      </c>
      <c r="F393" s="65">
        <f>232.73074*1000</f>
        <v>232730.74</v>
      </c>
      <c r="G393" s="65">
        <f>0.0507*1000</f>
        <v>50.7</v>
      </c>
      <c r="H393" s="65">
        <f>0.49434*1000</f>
        <v>494.34</v>
      </c>
      <c r="I393" s="65">
        <f>232.73074*1000</f>
        <v>232730.74</v>
      </c>
      <c r="J393" s="65">
        <f>0.04803*1000</f>
        <v>48.03</v>
      </c>
      <c r="K393" s="65">
        <f>0.49434*1000</f>
        <v>494.34</v>
      </c>
    </row>
    <row r="394" spans="1:11" ht="25.5">
      <c r="A394" s="61">
        <v>46</v>
      </c>
      <c r="B394" s="62" t="s">
        <v>520</v>
      </c>
      <c r="C394" s="77" t="s">
        <v>521</v>
      </c>
      <c r="D394" s="63" t="s">
        <v>322</v>
      </c>
      <c r="E394" s="62" t="s">
        <v>522</v>
      </c>
      <c r="F394" s="86">
        <f>105.77778*1000</f>
        <v>105777.78000000001</v>
      </c>
      <c r="G394" s="86">
        <f>0*1000</f>
        <v>0</v>
      </c>
      <c r="H394" s="86">
        <f>0.11367*1000</f>
        <v>113.66999999999999</v>
      </c>
      <c r="I394" s="86">
        <f>105.77778*1000</f>
        <v>105777.78000000001</v>
      </c>
      <c r="J394" s="86">
        <v>0</v>
      </c>
      <c r="K394" s="86">
        <f>0.11367*1000</f>
        <v>113.66999999999999</v>
      </c>
    </row>
    <row r="395" spans="1:11" ht="25.5">
      <c r="A395" s="61">
        <v>47</v>
      </c>
      <c r="B395" s="62" t="s">
        <v>523</v>
      </c>
      <c r="C395" s="77" t="s">
        <v>524</v>
      </c>
      <c r="D395" s="63" t="s">
        <v>322</v>
      </c>
      <c r="E395" s="62" t="s">
        <v>525</v>
      </c>
      <c r="F395" s="86"/>
      <c r="G395" s="86"/>
      <c r="H395" s="86"/>
      <c r="I395" s="86">
        <f>426.0101*1000</f>
        <v>426010.10000000003</v>
      </c>
      <c r="J395" s="86">
        <v>0</v>
      </c>
      <c r="K395" s="86">
        <f>0.52721*1000</f>
        <v>527.2099999999999</v>
      </c>
    </row>
  </sheetData>
  <sheetProtection/>
  <mergeCells count="38">
    <mergeCell ref="E341:E343"/>
    <mergeCell ref="B171:B183"/>
    <mergeCell ref="A171:A183"/>
    <mergeCell ref="D251:D300"/>
    <mergeCell ref="A38:K38"/>
    <mergeCell ref="A186:K186"/>
    <mergeCell ref="A85:K85"/>
    <mergeCell ref="A170:K170"/>
    <mergeCell ref="F40:H41"/>
    <mergeCell ref="I40:K40"/>
    <mergeCell ref="A250:K250"/>
    <mergeCell ref="A310:K310"/>
    <mergeCell ref="D171:D183"/>
    <mergeCell ref="F203:H205"/>
    <mergeCell ref="I203:K203"/>
    <mergeCell ref="F249:K249"/>
    <mergeCell ref="C171:C183"/>
    <mergeCell ref="F309:K309"/>
    <mergeCell ref="A341:A343"/>
    <mergeCell ref="C3:C6"/>
    <mergeCell ref="E3:E6"/>
    <mergeCell ref="D3:D6"/>
    <mergeCell ref="A9:K9"/>
    <mergeCell ref="B3:B6"/>
    <mergeCell ref="I3:K3"/>
    <mergeCell ref="I4:J4"/>
    <mergeCell ref="K4:K5"/>
    <mergeCell ref="A3:A6"/>
    <mergeCell ref="F3:H3"/>
    <mergeCell ref="A348:K348"/>
    <mergeCell ref="A322:K322"/>
    <mergeCell ref="H4:H5"/>
    <mergeCell ref="F4:G4"/>
    <mergeCell ref="A8:K8"/>
    <mergeCell ref="A206:K206"/>
    <mergeCell ref="A229:K229"/>
    <mergeCell ref="F307:K307"/>
    <mergeCell ref="F308:K30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59"/>
  <sheetViews>
    <sheetView tabSelected="1" zoomScale="90" zoomScaleNormal="90" zoomScaleSheetLayoutView="100" zoomScalePageLayoutView="0" workbookViewId="0" topLeftCell="A1">
      <pane ySplit="4" topLeftCell="A299" activePane="bottomLeft" state="frozen"/>
      <selection pane="topLeft" activeCell="A1" sqref="A1"/>
      <selection pane="bottomLeft" activeCell="N58" sqref="M58:N58"/>
    </sheetView>
  </sheetViews>
  <sheetFormatPr defaultColWidth="9.140625" defaultRowHeight="12.75"/>
  <cols>
    <col min="2" max="2" width="24.8515625" style="0" customWidth="1"/>
    <col min="3" max="3" width="23.57421875" style="0" customWidth="1"/>
    <col min="4" max="5" width="21.140625" style="0" customWidth="1"/>
    <col min="6" max="6" width="27.8515625" style="0" customWidth="1"/>
    <col min="7" max="7" width="27.140625" style="0" customWidth="1"/>
    <col min="8" max="8" width="24.140625" style="11" customWidth="1"/>
    <col min="14" max="14" width="5.421875" style="0" customWidth="1"/>
    <col min="15" max="16" width="9.140625" style="0" hidden="1" customWidth="1"/>
  </cols>
  <sheetData>
    <row r="1" ht="13.5" thickBot="1">
      <c r="H1" s="12" t="s">
        <v>18</v>
      </c>
    </row>
    <row r="2" spans="1:8" ht="16.5" thickBot="1">
      <c r="A2" s="243" t="s">
        <v>16</v>
      </c>
      <c r="B2" s="244"/>
      <c r="C2" s="244"/>
      <c r="D2" s="244"/>
      <c r="E2" s="244"/>
      <c r="F2" s="244"/>
      <c r="G2" s="244"/>
      <c r="H2" s="245"/>
    </row>
    <row r="3" spans="1:8" ht="32.25" customHeight="1" thickBot="1">
      <c r="A3" s="253" t="s">
        <v>15</v>
      </c>
      <c r="B3" s="254"/>
      <c r="C3" s="255"/>
      <c r="D3" s="251" t="s">
        <v>20</v>
      </c>
      <c r="E3" s="251" t="s">
        <v>21</v>
      </c>
      <c r="F3" s="259" t="s">
        <v>19</v>
      </c>
      <c r="G3" s="260"/>
      <c r="H3" s="251" t="s">
        <v>14</v>
      </c>
    </row>
    <row r="4" spans="1:14" ht="62.25" customHeight="1" thickBot="1">
      <c r="A4" s="256"/>
      <c r="B4" s="257"/>
      <c r="C4" s="258"/>
      <c r="D4" s="252"/>
      <c r="E4" s="252"/>
      <c r="F4" s="9" t="s">
        <v>0</v>
      </c>
      <c r="G4" s="10" t="s">
        <v>1</v>
      </c>
      <c r="H4" s="252"/>
      <c r="N4" t="s">
        <v>639</v>
      </c>
    </row>
    <row r="5" spans="1:8" ht="15" thickBot="1">
      <c r="A5" s="246" t="s">
        <v>17</v>
      </c>
      <c r="B5" s="247"/>
      <c r="C5" s="247"/>
      <c r="D5" s="247"/>
      <c r="E5" s="247"/>
      <c r="F5" s="247"/>
      <c r="G5" s="247"/>
      <c r="H5" s="248"/>
    </row>
    <row r="6" spans="1:8" ht="21" thickBot="1">
      <c r="A6" s="184" t="s">
        <v>390</v>
      </c>
      <c r="B6" s="185"/>
      <c r="C6" s="185"/>
      <c r="D6" s="185"/>
      <c r="E6" s="185"/>
      <c r="F6" s="185"/>
      <c r="G6" s="185"/>
      <c r="H6" s="186"/>
    </row>
    <row r="7" spans="1:8" ht="14.25" customHeight="1">
      <c r="A7" s="218" t="s">
        <v>25</v>
      </c>
      <c r="B7" s="219"/>
      <c r="C7" s="219"/>
      <c r="D7" s="219"/>
      <c r="E7" s="219"/>
      <c r="F7" s="219"/>
      <c r="G7" s="219"/>
      <c r="H7" s="220"/>
    </row>
    <row r="8" spans="1:8" ht="14.25" customHeight="1">
      <c r="A8" s="162" t="s">
        <v>28</v>
      </c>
      <c r="B8" s="163"/>
      <c r="C8" s="163"/>
      <c r="D8" s="163"/>
      <c r="E8" s="163"/>
      <c r="F8" s="163"/>
      <c r="G8" s="163"/>
      <c r="H8" s="164"/>
    </row>
    <row r="9" spans="1:8" ht="15">
      <c r="A9" s="205">
        <v>1</v>
      </c>
      <c r="B9" s="187" t="s">
        <v>617</v>
      </c>
      <c r="C9" s="17" t="s">
        <v>2</v>
      </c>
      <c r="D9" s="183" t="s">
        <v>618</v>
      </c>
      <c r="E9" s="176" t="s">
        <v>619</v>
      </c>
      <c r="F9" s="18">
        <v>946754.56</v>
      </c>
      <c r="G9" s="18">
        <v>29.72</v>
      </c>
      <c r="H9" s="19">
        <v>1322.29</v>
      </c>
    </row>
    <row r="10" spans="1:8" ht="15">
      <c r="A10" s="205"/>
      <c r="B10" s="187"/>
      <c r="C10" s="17" t="s">
        <v>27</v>
      </c>
      <c r="D10" s="176"/>
      <c r="E10" s="176"/>
      <c r="F10" s="18"/>
      <c r="G10" s="18"/>
      <c r="H10" s="19" t="s">
        <v>233</v>
      </c>
    </row>
    <row r="11" spans="1:8" ht="15">
      <c r="A11" s="205"/>
      <c r="B11" s="187"/>
      <c r="C11" s="17" t="s">
        <v>3</v>
      </c>
      <c r="D11" s="176"/>
      <c r="E11" s="176"/>
      <c r="F11" s="18">
        <v>1135587.68</v>
      </c>
      <c r="G11" s="18">
        <v>107.55</v>
      </c>
      <c r="H11" s="19">
        <v>1642.17</v>
      </c>
    </row>
    <row r="12" spans="1:8" ht="15">
      <c r="A12" s="205"/>
      <c r="B12" s="187"/>
      <c r="C12" s="17" t="s">
        <v>4</v>
      </c>
      <c r="D12" s="176"/>
      <c r="E12" s="176"/>
      <c r="F12" s="18">
        <v>798573.28</v>
      </c>
      <c r="G12" s="18">
        <v>206.17</v>
      </c>
      <c r="H12" s="19">
        <v>1769.93</v>
      </c>
    </row>
    <row r="13" spans="1:8" ht="15">
      <c r="A13" s="205"/>
      <c r="B13" s="187"/>
      <c r="C13" s="17" t="s">
        <v>5</v>
      </c>
      <c r="D13" s="176"/>
      <c r="E13" s="176"/>
      <c r="F13" s="18">
        <v>863298.49</v>
      </c>
      <c r="G13" s="18">
        <v>459.32</v>
      </c>
      <c r="H13" s="19">
        <v>1802.56</v>
      </c>
    </row>
    <row r="14" spans="1:8" ht="14.25" customHeight="1">
      <c r="A14" s="162" t="s">
        <v>29</v>
      </c>
      <c r="B14" s="163"/>
      <c r="C14" s="163"/>
      <c r="D14" s="163"/>
      <c r="E14" s="163"/>
      <c r="F14" s="163"/>
      <c r="G14" s="163"/>
      <c r="H14" s="164"/>
    </row>
    <row r="15" spans="1:8" ht="15">
      <c r="A15" s="205">
        <v>2</v>
      </c>
      <c r="B15" s="187" t="str">
        <f>B9</f>
        <v>№15/19  от 19.12.2013 (с изм. от 24.03.2014) </v>
      </c>
      <c r="C15" s="17" t="s">
        <v>2</v>
      </c>
      <c r="D15" s="183" t="str">
        <f>D9</f>
        <v>21.01.2014, 02.04.2014</v>
      </c>
      <c r="E15" s="176" t="str">
        <f>E9</f>
        <v>Газета "Белгородские известия" №11, №61 </v>
      </c>
      <c r="F15" s="160" t="s">
        <v>32</v>
      </c>
      <c r="G15" s="160" t="s">
        <v>32</v>
      </c>
      <c r="H15" s="177">
        <v>796.79</v>
      </c>
    </row>
    <row r="16" spans="1:8" ht="15">
      <c r="A16" s="205"/>
      <c r="B16" s="176"/>
      <c r="C16" s="17" t="s">
        <v>3</v>
      </c>
      <c r="D16" s="176"/>
      <c r="E16" s="176"/>
      <c r="F16" s="160"/>
      <c r="G16" s="160"/>
      <c r="H16" s="177"/>
    </row>
    <row r="17" spans="1:8" ht="15">
      <c r="A17" s="205"/>
      <c r="B17" s="176"/>
      <c r="C17" s="17" t="s">
        <v>4</v>
      </c>
      <c r="D17" s="176"/>
      <c r="E17" s="176"/>
      <c r="F17" s="160"/>
      <c r="G17" s="160"/>
      <c r="H17" s="177"/>
    </row>
    <row r="18" spans="1:8" ht="15">
      <c r="A18" s="205"/>
      <c r="B18" s="176"/>
      <c r="C18" s="17" t="s">
        <v>5</v>
      </c>
      <c r="D18" s="176"/>
      <c r="E18" s="176"/>
      <c r="F18" s="160"/>
      <c r="G18" s="160"/>
      <c r="H18" s="177"/>
    </row>
    <row r="19" spans="1:8" ht="15" customHeight="1">
      <c r="A19" s="170" t="s">
        <v>26</v>
      </c>
      <c r="B19" s="171"/>
      <c r="C19" s="171"/>
      <c r="D19" s="171"/>
      <c r="E19" s="171"/>
      <c r="F19" s="171"/>
      <c r="G19" s="171"/>
      <c r="H19" s="172"/>
    </row>
    <row r="20" spans="1:8" ht="15" customHeight="1">
      <c r="A20" s="162" t="str">
        <f>A8</f>
        <v>1. Прочие потребители</v>
      </c>
      <c r="B20" s="163"/>
      <c r="C20" s="163"/>
      <c r="D20" s="163"/>
      <c r="E20" s="163"/>
      <c r="F20" s="163"/>
      <c r="G20" s="163"/>
      <c r="H20" s="164"/>
    </row>
    <row r="21" spans="1:8" ht="15">
      <c r="A21" s="234">
        <v>1</v>
      </c>
      <c r="B21" s="187" t="str">
        <f>B15</f>
        <v>№15/19  от 19.12.2013 (с изм. от 24.03.2014) </v>
      </c>
      <c r="C21" s="17" t="s">
        <v>2</v>
      </c>
      <c r="D21" s="183" t="str">
        <f>D15</f>
        <v>21.01.2014, 02.04.2014</v>
      </c>
      <c r="E21" s="176" t="str">
        <f>E15</f>
        <v>Газета "Белгородские известия" №11, №61 </v>
      </c>
      <c r="F21" s="20">
        <v>946754.56</v>
      </c>
      <c r="G21" s="20">
        <v>29.72</v>
      </c>
      <c r="H21" s="21">
        <v>1322.29</v>
      </c>
    </row>
    <row r="22" spans="1:8" ht="15">
      <c r="A22" s="249"/>
      <c r="B22" s="176"/>
      <c r="C22" s="17" t="s">
        <v>27</v>
      </c>
      <c r="D22" s="176"/>
      <c r="E22" s="176"/>
      <c r="F22" s="17"/>
      <c r="G22" s="17"/>
      <c r="H22" s="22" t="s">
        <v>233</v>
      </c>
    </row>
    <row r="23" spans="1:8" ht="15">
      <c r="A23" s="249"/>
      <c r="B23" s="176"/>
      <c r="C23" s="17" t="s">
        <v>3</v>
      </c>
      <c r="D23" s="176"/>
      <c r="E23" s="176"/>
      <c r="F23" s="20">
        <v>1135587.68</v>
      </c>
      <c r="G23" s="20">
        <v>107.55</v>
      </c>
      <c r="H23" s="21">
        <v>1642.17</v>
      </c>
    </row>
    <row r="24" spans="1:8" ht="15">
      <c r="A24" s="249"/>
      <c r="B24" s="176"/>
      <c r="C24" s="17" t="s">
        <v>4</v>
      </c>
      <c r="D24" s="176"/>
      <c r="E24" s="176"/>
      <c r="F24" s="20">
        <v>798573.28</v>
      </c>
      <c r="G24" s="20">
        <v>206.17</v>
      </c>
      <c r="H24" s="21">
        <v>1769.93</v>
      </c>
    </row>
    <row r="25" spans="1:8" ht="15">
      <c r="A25" s="250"/>
      <c r="B25" s="176"/>
      <c r="C25" s="17" t="s">
        <v>5</v>
      </c>
      <c r="D25" s="176"/>
      <c r="E25" s="176"/>
      <c r="F25" s="20">
        <v>863298.49</v>
      </c>
      <c r="G25" s="20">
        <v>459.32</v>
      </c>
      <c r="H25" s="21">
        <v>1802.56</v>
      </c>
    </row>
    <row r="26" spans="1:8" ht="15" customHeight="1">
      <c r="A26" s="162" t="str">
        <f>A14</f>
        <v>2. Население и приравненные к нему категории потребителей</v>
      </c>
      <c r="B26" s="163"/>
      <c r="C26" s="163"/>
      <c r="D26" s="163"/>
      <c r="E26" s="163"/>
      <c r="F26" s="163"/>
      <c r="G26" s="163"/>
      <c r="H26" s="164"/>
    </row>
    <row r="27" spans="1:8" ht="15">
      <c r="A27" s="205">
        <v>2</v>
      </c>
      <c r="B27" s="187" t="str">
        <f>B21</f>
        <v>№15/19  от 19.12.2013 (с изм. от 24.03.2014) </v>
      </c>
      <c r="C27" s="17" t="s">
        <v>2</v>
      </c>
      <c r="D27" s="183" t="str">
        <f>D21</f>
        <v>21.01.2014, 02.04.2014</v>
      </c>
      <c r="E27" s="176" t="str">
        <f>E21</f>
        <v>Газета "Белгородские известия" №11, №61 </v>
      </c>
      <c r="F27" s="178" t="s">
        <v>32</v>
      </c>
      <c r="G27" s="178" t="s">
        <v>32</v>
      </c>
      <c r="H27" s="180">
        <v>885.8</v>
      </c>
    </row>
    <row r="28" spans="1:8" ht="15">
      <c r="A28" s="205"/>
      <c r="B28" s="176"/>
      <c r="C28" s="17" t="s">
        <v>3</v>
      </c>
      <c r="D28" s="176"/>
      <c r="E28" s="176"/>
      <c r="F28" s="179"/>
      <c r="G28" s="179"/>
      <c r="H28" s="181"/>
    </row>
    <row r="29" spans="1:8" ht="15">
      <c r="A29" s="205"/>
      <c r="B29" s="176"/>
      <c r="C29" s="17" t="s">
        <v>4</v>
      </c>
      <c r="D29" s="176"/>
      <c r="E29" s="176"/>
      <c r="F29" s="179"/>
      <c r="G29" s="179"/>
      <c r="H29" s="181"/>
    </row>
    <row r="30" spans="1:8" ht="15.75" thickBot="1">
      <c r="A30" s="234"/>
      <c r="B30" s="222"/>
      <c r="C30" s="27" t="s">
        <v>5</v>
      </c>
      <c r="D30" s="222"/>
      <c r="E30" s="222"/>
      <c r="F30" s="179"/>
      <c r="G30" s="179"/>
      <c r="H30" s="181"/>
    </row>
    <row r="31" spans="1:8" ht="28.5" customHeight="1" thickBot="1">
      <c r="A31" s="184" t="s">
        <v>375</v>
      </c>
      <c r="B31" s="185"/>
      <c r="C31" s="185"/>
      <c r="D31" s="185"/>
      <c r="E31" s="185"/>
      <c r="F31" s="185"/>
      <c r="G31" s="185"/>
      <c r="H31" s="186"/>
    </row>
    <row r="32" spans="1:8" ht="12.75" customHeight="1">
      <c r="A32" s="218" t="s">
        <v>25</v>
      </c>
      <c r="B32" s="219"/>
      <c r="C32" s="219"/>
      <c r="D32" s="219"/>
      <c r="E32" s="219"/>
      <c r="F32" s="219"/>
      <c r="G32" s="219"/>
      <c r="H32" s="220"/>
    </row>
    <row r="33" spans="1:8" ht="12.75" customHeight="1">
      <c r="A33" s="162" t="str">
        <f>A50</f>
        <v>1. Прочие потребители</v>
      </c>
      <c r="B33" s="163"/>
      <c r="C33" s="163"/>
      <c r="D33" s="163"/>
      <c r="E33" s="163"/>
      <c r="F33" s="163"/>
      <c r="G33" s="163"/>
      <c r="H33" s="164"/>
    </row>
    <row r="34" spans="1:8" ht="15">
      <c r="A34" s="205">
        <v>1</v>
      </c>
      <c r="B34" s="189" t="s">
        <v>641</v>
      </c>
      <c r="C34" s="17" t="s">
        <v>2</v>
      </c>
      <c r="D34" s="188" t="s">
        <v>492</v>
      </c>
      <c r="E34" s="160" t="s">
        <v>493</v>
      </c>
      <c r="F34" s="20">
        <v>992114.42</v>
      </c>
      <c r="G34" s="20">
        <v>25.07</v>
      </c>
      <c r="H34" s="21">
        <v>1545.98</v>
      </c>
    </row>
    <row r="35" spans="1:8" ht="15">
      <c r="A35" s="205"/>
      <c r="B35" s="160"/>
      <c r="C35" s="17" t="s">
        <v>3</v>
      </c>
      <c r="D35" s="160"/>
      <c r="E35" s="160"/>
      <c r="F35" s="20">
        <v>1172044.32</v>
      </c>
      <c r="G35" s="20">
        <v>48.73</v>
      </c>
      <c r="H35" s="21">
        <v>1896.9</v>
      </c>
    </row>
    <row r="36" spans="1:8" ht="15">
      <c r="A36" s="205"/>
      <c r="B36" s="160"/>
      <c r="C36" s="17" t="s">
        <v>4</v>
      </c>
      <c r="D36" s="160"/>
      <c r="E36" s="160"/>
      <c r="F36" s="20">
        <v>1212890.83</v>
      </c>
      <c r="G36" s="20">
        <v>159.72</v>
      </c>
      <c r="H36" s="21">
        <v>2448.13</v>
      </c>
    </row>
    <row r="37" spans="1:8" ht="15">
      <c r="A37" s="205"/>
      <c r="B37" s="160"/>
      <c r="C37" s="25" t="s">
        <v>5</v>
      </c>
      <c r="D37" s="160"/>
      <c r="E37" s="160"/>
      <c r="F37" s="20">
        <v>1458896.88</v>
      </c>
      <c r="G37" s="20">
        <v>669.36</v>
      </c>
      <c r="H37" s="21">
        <v>3810.61</v>
      </c>
    </row>
    <row r="38" spans="1:8" ht="18" customHeight="1">
      <c r="A38" s="162" t="s">
        <v>29</v>
      </c>
      <c r="B38" s="163"/>
      <c r="C38" s="163"/>
      <c r="D38" s="163"/>
      <c r="E38" s="163"/>
      <c r="F38" s="163"/>
      <c r="G38" s="163"/>
      <c r="H38" s="164"/>
    </row>
    <row r="39" spans="1:8" ht="18" customHeight="1">
      <c r="A39" s="162" t="s">
        <v>31</v>
      </c>
      <c r="B39" s="163"/>
      <c r="C39" s="163"/>
      <c r="D39" s="163"/>
      <c r="E39" s="163"/>
      <c r="F39" s="163"/>
      <c r="G39" s="163"/>
      <c r="H39" s="164"/>
    </row>
    <row r="40" spans="1:8" ht="15" customHeight="1">
      <c r="A40" s="205">
        <v>2</v>
      </c>
      <c r="B40" s="189" t="s">
        <v>641</v>
      </c>
      <c r="C40" s="17" t="s">
        <v>2</v>
      </c>
      <c r="D40" s="188" t="str">
        <f>D34</f>
        <v>04.04.2014г</v>
      </c>
      <c r="E40" s="160" t="s">
        <v>493</v>
      </c>
      <c r="F40" s="160" t="s">
        <v>32</v>
      </c>
      <c r="G40" s="160" t="s">
        <v>32</v>
      </c>
      <c r="H40" s="161">
        <v>1071.01</v>
      </c>
    </row>
    <row r="41" spans="1:8" ht="15.75" customHeight="1">
      <c r="A41" s="205"/>
      <c r="B41" s="189"/>
      <c r="C41" s="17" t="s">
        <v>3</v>
      </c>
      <c r="D41" s="160"/>
      <c r="E41" s="160"/>
      <c r="F41" s="160"/>
      <c r="G41" s="160"/>
      <c r="H41" s="161"/>
    </row>
    <row r="42" spans="1:8" ht="15">
      <c r="A42" s="205"/>
      <c r="B42" s="189"/>
      <c r="C42" s="17" t="s">
        <v>4</v>
      </c>
      <c r="D42" s="160"/>
      <c r="E42" s="160"/>
      <c r="F42" s="160"/>
      <c r="G42" s="160"/>
      <c r="H42" s="161"/>
    </row>
    <row r="43" spans="1:8" ht="15">
      <c r="A43" s="205"/>
      <c r="B43" s="189"/>
      <c r="C43" s="25" t="s">
        <v>5</v>
      </c>
      <c r="D43" s="160"/>
      <c r="E43" s="160"/>
      <c r="F43" s="160"/>
      <c r="G43" s="160"/>
      <c r="H43" s="161"/>
    </row>
    <row r="44" spans="1:8" ht="34.5" customHeight="1">
      <c r="A44" s="162" t="s">
        <v>30</v>
      </c>
      <c r="B44" s="163"/>
      <c r="C44" s="163"/>
      <c r="D44" s="163"/>
      <c r="E44" s="163"/>
      <c r="F44" s="163"/>
      <c r="G44" s="163"/>
      <c r="H44" s="164"/>
    </row>
    <row r="45" spans="1:8" ht="15" customHeight="1">
      <c r="A45" s="205">
        <v>3</v>
      </c>
      <c r="B45" s="189" t="s">
        <v>641</v>
      </c>
      <c r="C45" s="17" t="s">
        <v>2</v>
      </c>
      <c r="D45" s="188" t="str">
        <f>D34</f>
        <v>04.04.2014г</v>
      </c>
      <c r="E45" s="160" t="s">
        <v>493</v>
      </c>
      <c r="F45" s="160" t="s">
        <v>32</v>
      </c>
      <c r="G45" s="160" t="s">
        <v>32</v>
      </c>
      <c r="H45" s="242">
        <v>333.72</v>
      </c>
    </row>
    <row r="46" spans="1:8" ht="15.75" customHeight="1">
      <c r="A46" s="205"/>
      <c r="B46" s="189"/>
      <c r="C46" s="17" t="s">
        <v>3</v>
      </c>
      <c r="D46" s="188"/>
      <c r="E46" s="160"/>
      <c r="F46" s="160"/>
      <c r="G46" s="160"/>
      <c r="H46" s="242"/>
    </row>
    <row r="47" spans="1:8" ht="15">
      <c r="A47" s="205"/>
      <c r="B47" s="189"/>
      <c r="C47" s="17" t="s">
        <v>4</v>
      </c>
      <c r="D47" s="188"/>
      <c r="E47" s="160"/>
      <c r="F47" s="160"/>
      <c r="G47" s="160"/>
      <c r="H47" s="242"/>
    </row>
    <row r="48" spans="1:8" ht="15">
      <c r="A48" s="205"/>
      <c r="B48" s="189"/>
      <c r="C48" s="25" t="s">
        <v>5</v>
      </c>
      <c r="D48" s="188"/>
      <c r="E48" s="160"/>
      <c r="F48" s="160"/>
      <c r="G48" s="160"/>
      <c r="H48" s="242"/>
    </row>
    <row r="49" spans="1:8" ht="14.25">
      <c r="A49" s="170" t="s">
        <v>26</v>
      </c>
      <c r="B49" s="171"/>
      <c r="C49" s="171"/>
      <c r="D49" s="171"/>
      <c r="E49" s="171"/>
      <c r="F49" s="171"/>
      <c r="G49" s="171"/>
      <c r="H49" s="172"/>
    </row>
    <row r="50" spans="1:8" ht="12.75" customHeight="1">
      <c r="A50" s="162" t="s">
        <v>28</v>
      </c>
      <c r="B50" s="163"/>
      <c r="C50" s="163"/>
      <c r="D50" s="163"/>
      <c r="E50" s="163"/>
      <c r="F50" s="163"/>
      <c r="G50" s="163"/>
      <c r="H50" s="164"/>
    </row>
    <row r="51" spans="1:8" ht="15" customHeight="1">
      <c r="A51" s="205">
        <v>1</v>
      </c>
      <c r="B51" s="189" t="s">
        <v>641</v>
      </c>
      <c r="C51" s="17" t="s">
        <v>2</v>
      </c>
      <c r="D51" s="188" t="str">
        <f>D34</f>
        <v>04.04.2014г</v>
      </c>
      <c r="E51" s="160" t="s">
        <v>493</v>
      </c>
      <c r="F51" s="20">
        <v>992114.42</v>
      </c>
      <c r="G51" s="20">
        <v>25.07</v>
      </c>
      <c r="H51" s="21">
        <v>1545.98</v>
      </c>
    </row>
    <row r="52" spans="1:8" ht="15">
      <c r="A52" s="205"/>
      <c r="B52" s="189"/>
      <c r="C52" s="17" t="s">
        <v>3</v>
      </c>
      <c r="D52" s="160"/>
      <c r="E52" s="160"/>
      <c r="F52" s="20">
        <v>1172044.32</v>
      </c>
      <c r="G52" s="20">
        <v>48.73</v>
      </c>
      <c r="H52" s="21">
        <v>1896.9</v>
      </c>
    </row>
    <row r="53" spans="1:8" ht="15">
      <c r="A53" s="205"/>
      <c r="B53" s="189"/>
      <c r="C53" s="17" t="s">
        <v>4</v>
      </c>
      <c r="D53" s="160"/>
      <c r="E53" s="160"/>
      <c r="F53" s="20">
        <v>1212890.83</v>
      </c>
      <c r="G53" s="20">
        <v>159.72</v>
      </c>
      <c r="H53" s="21">
        <v>2448.13</v>
      </c>
    </row>
    <row r="54" spans="1:8" ht="15">
      <c r="A54" s="205"/>
      <c r="B54" s="189"/>
      <c r="C54" s="25" t="s">
        <v>5</v>
      </c>
      <c r="D54" s="160"/>
      <c r="E54" s="160"/>
      <c r="F54" s="20">
        <v>1458896.88</v>
      </c>
      <c r="G54" s="20">
        <v>669.36</v>
      </c>
      <c r="H54" s="21">
        <v>3810.61</v>
      </c>
    </row>
    <row r="55" spans="1:8" ht="18" customHeight="1">
      <c r="A55" s="162" t="s">
        <v>431</v>
      </c>
      <c r="B55" s="163"/>
      <c r="C55" s="163"/>
      <c r="D55" s="163"/>
      <c r="E55" s="163"/>
      <c r="F55" s="163"/>
      <c r="G55" s="163"/>
      <c r="H55" s="164"/>
    </row>
    <row r="56" spans="1:8" ht="18" customHeight="1">
      <c r="A56" s="162" t="s">
        <v>31</v>
      </c>
      <c r="B56" s="163"/>
      <c r="C56" s="163"/>
      <c r="D56" s="163"/>
      <c r="E56" s="163"/>
      <c r="F56" s="163"/>
      <c r="G56" s="163"/>
      <c r="H56" s="164"/>
    </row>
    <row r="57" spans="1:8" ht="15" customHeight="1">
      <c r="A57" s="205">
        <v>2</v>
      </c>
      <c r="B57" s="189" t="s">
        <v>641</v>
      </c>
      <c r="C57" s="17" t="s">
        <v>2</v>
      </c>
      <c r="D57" s="188" t="str">
        <f>D51</f>
        <v>04.04.2014г</v>
      </c>
      <c r="E57" s="160" t="s">
        <v>493</v>
      </c>
      <c r="F57" s="160" t="s">
        <v>32</v>
      </c>
      <c r="G57" s="160" t="s">
        <v>32</v>
      </c>
      <c r="H57" s="161">
        <v>1233.24</v>
      </c>
    </row>
    <row r="58" spans="1:8" ht="15">
      <c r="A58" s="205"/>
      <c r="B58" s="189"/>
      <c r="C58" s="17" t="s">
        <v>3</v>
      </c>
      <c r="D58" s="160"/>
      <c r="E58" s="160"/>
      <c r="F58" s="160"/>
      <c r="G58" s="160"/>
      <c r="H58" s="161"/>
    </row>
    <row r="59" spans="1:8" ht="15">
      <c r="A59" s="205"/>
      <c r="B59" s="189"/>
      <c r="C59" s="17" t="s">
        <v>4</v>
      </c>
      <c r="D59" s="160"/>
      <c r="E59" s="160"/>
      <c r="F59" s="160"/>
      <c r="G59" s="160"/>
      <c r="H59" s="161"/>
    </row>
    <row r="60" spans="1:8" ht="15">
      <c r="A60" s="205"/>
      <c r="B60" s="189"/>
      <c r="C60" s="25" t="s">
        <v>5</v>
      </c>
      <c r="D60" s="160"/>
      <c r="E60" s="160"/>
      <c r="F60" s="160"/>
      <c r="G60" s="160"/>
      <c r="H60" s="161"/>
    </row>
    <row r="61" spans="1:8" ht="31.5" customHeight="1">
      <c r="A61" s="162" t="s">
        <v>30</v>
      </c>
      <c r="B61" s="163"/>
      <c r="C61" s="163"/>
      <c r="D61" s="163"/>
      <c r="E61" s="163"/>
      <c r="F61" s="163"/>
      <c r="G61" s="163"/>
      <c r="H61" s="164"/>
    </row>
    <row r="62" spans="1:8" ht="15" customHeight="1">
      <c r="A62" s="205">
        <v>3</v>
      </c>
      <c r="B62" s="189" t="s">
        <v>641</v>
      </c>
      <c r="C62" s="17" t="s">
        <v>2</v>
      </c>
      <c r="D62" s="188" t="str">
        <f>D57</f>
        <v>04.04.2014г</v>
      </c>
      <c r="E62" s="160" t="s">
        <v>493</v>
      </c>
      <c r="F62" s="160" t="s">
        <v>32</v>
      </c>
      <c r="G62" s="160" t="s">
        <v>32</v>
      </c>
      <c r="H62" s="242">
        <v>462.05</v>
      </c>
    </row>
    <row r="63" spans="1:8" ht="15">
      <c r="A63" s="205"/>
      <c r="B63" s="189"/>
      <c r="C63" s="17" t="s">
        <v>3</v>
      </c>
      <c r="D63" s="160"/>
      <c r="E63" s="160"/>
      <c r="F63" s="160"/>
      <c r="G63" s="160"/>
      <c r="H63" s="242"/>
    </row>
    <row r="64" spans="1:8" ht="15">
      <c r="A64" s="205"/>
      <c r="B64" s="189"/>
      <c r="C64" s="17" t="s">
        <v>4</v>
      </c>
      <c r="D64" s="160"/>
      <c r="E64" s="160"/>
      <c r="F64" s="160"/>
      <c r="G64" s="160"/>
      <c r="H64" s="242"/>
    </row>
    <row r="65" spans="1:8" ht="15.75" thickBot="1">
      <c r="A65" s="234"/>
      <c r="B65" s="231"/>
      <c r="C65" s="28" t="s">
        <v>5</v>
      </c>
      <c r="D65" s="178"/>
      <c r="E65" s="178"/>
      <c r="F65" s="178"/>
      <c r="G65" s="178"/>
      <c r="H65" s="261"/>
    </row>
    <row r="66" spans="1:8" ht="30" customHeight="1" thickBot="1">
      <c r="A66" s="184" t="s">
        <v>380</v>
      </c>
      <c r="B66" s="185"/>
      <c r="C66" s="185"/>
      <c r="D66" s="185"/>
      <c r="E66" s="185"/>
      <c r="F66" s="185"/>
      <c r="G66" s="185"/>
      <c r="H66" s="186"/>
    </row>
    <row r="67" spans="1:8" ht="12.75" customHeight="1">
      <c r="A67" s="218" t="str">
        <f>A90</f>
        <v>1-ое полугодие 2014 года</v>
      </c>
      <c r="B67" s="219"/>
      <c r="C67" s="219"/>
      <c r="D67" s="219"/>
      <c r="E67" s="219"/>
      <c r="F67" s="219"/>
      <c r="G67" s="219"/>
      <c r="H67" s="220"/>
    </row>
    <row r="68" spans="1:8" ht="12.75" customHeight="1">
      <c r="A68" s="162" t="s">
        <v>28</v>
      </c>
      <c r="B68" s="163"/>
      <c r="C68" s="163"/>
      <c r="D68" s="163"/>
      <c r="E68" s="163"/>
      <c r="F68" s="163"/>
      <c r="G68" s="163"/>
      <c r="H68" s="164"/>
    </row>
    <row r="69" spans="1:8" ht="15" customHeight="1">
      <c r="A69" s="205">
        <v>1</v>
      </c>
      <c r="B69" s="189" t="s">
        <v>76</v>
      </c>
      <c r="C69" s="17" t="s">
        <v>2</v>
      </c>
      <c r="D69" s="188">
        <f>D80</f>
        <v>41636</v>
      </c>
      <c r="E69" s="160" t="str">
        <f>E80</f>
        <v>Воронежский курьер №147</v>
      </c>
      <c r="F69" s="20">
        <v>284651.36</v>
      </c>
      <c r="G69" s="20">
        <v>620.97</v>
      </c>
      <c r="H69" s="21">
        <v>1154.27</v>
      </c>
    </row>
    <row r="70" spans="1:8" ht="15">
      <c r="A70" s="205"/>
      <c r="B70" s="189"/>
      <c r="C70" s="17" t="s">
        <v>3</v>
      </c>
      <c r="D70" s="160"/>
      <c r="E70" s="160"/>
      <c r="F70" s="20">
        <v>601691.06</v>
      </c>
      <c r="G70" s="20">
        <v>673.03</v>
      </c>
      <c r="H70" s="21">
        <v>1747.59</v>
      </c>
    </row>
    <row r="71" spans="1:8" ht="15">
      <c r="A71" s="205"/>
      <c r="B71" s="189"/>
      <c r="C71" s="17" t="s">
        <v>4</v>
      </c>
      <c r="D71" s="160"/>
      <c r="E71" s="160"/>
      <c r="F71" s="20">
        <v>726476.83</v>
      </c>
      <c r="G71" s="20">
        <v>910.12</v>
      </c>
      <c r="H71" s="21">
        <v>2220.68</v>
      </c>
    </row>
    <row r="72" spans="1:8" ht="15">
      <c r="A72" s="205"/>
      <c r="B72" s="189"/>
      <c r="C72" s="25" t="s">
        <v>5</v>
      </c>
      <c r="D72" s="160"/>
      <c r="E72" s="160"/>
      <c r="F72" s="20">
        <v>1016416.84</v>
      </c>
      <c r="G72" s="20">
        <v>1348.58</v>
      </c>
      <c r="H72" s="21">
        <v>3226.5</v>
      </c>
    </row>
    <row r="73" spans="1:8" ht="18" customHeight="1">
      <c r="A73" s="162" t="s">
        <v>29</v>
      </c>
      <c r="B73" s="163"/>
      <c r="C73" s="163"/>
      <c r="D73" s="163"/>
      <c r="E73" s="163"/>
      <c r="F73" s="163"/>
      <c r="G73" s="163"/>
      <c r="H73" s="164"/>
    </row>
    <row r="74" spans="1:8" ht="15" customHeight="1">
      <c r="A74" s="205">
        <v>2</v>
      </c>
      <c r="B74" s="189" t="s">
        <v>76</v>
      </c>
      <c r="C74" s="17" t="s">
        <v>2</v>
      </c>
      <c r="D74" s="188">
        <f>D80</f>
        <v>41636</v>
      </c>
      <c r="E74" s="160" t="str">
        <f>E80</f>
        <v>Воронежский курьер №147</v>
      </c>
      <c r="F74" s="160" t="s">
        <v>32</v>
      </c>
      <c r="G74" s="160" t="s">
        <v>32</v>
      </c>
      <c r="H74" s="242">
        <v>669.08</v>
      </c>
    </row>
    <row r="75" spans="1:8" ht="15">
      <c r="A75" s="205"/>
      <c r="B75" s="189"/>
      <c r="C75" s="17" t="s">
        <v>3</v>
      </c>
      <c r="D75" s="160"/>
      <c r="E75" s="160"/>
      <c r="F75" s="160"/>
      <c r="G75" s="160"/>
      <c r="H75" s="242"/>
    </row>
    <row r="76" spans="1:8" ht="15">
      <c r="A76" s="205"/>
      <c r="B76" s="189"/>
      <c r="C76" s="17" t="s">
        <v>4</v>
      </c>
      <c r="D76" s="160"/>
      <c r="E76" s="160"/>
      <c r="F76" s="160"/>
      <c r="G76" s="160"/>
      <c r="H76" s="242"/>
    </row>
    <row r="77" spans="1:8" ht="13.5" customHeight="1">
      <c r="A77" s="205"/>
      <c r="B77" s="189"/>
      <c r="C77" s="25" t="s">
        <v>5</v>
      </c>
      <c r="D77" s="160"/>
      <c r="E77" s="160"/>
      <c r="F77" s="160"/>
      <c r="G77" s="160"/>
      <c r="H77" s="242"/>
    </row>
    <row r="78" spans="1:8" ht="13.5" customHeight="1">
      <c r="A78" s="170" t="str">
        <f>A107</f>
        <v>2-ое полугодие 2014 года</v>
      </c>
      <c r="B78" s="171"/>
      <c r="C78" s="171"/>
      <c r="D78" s="171"/>
      <c r="E78" s="171"/>
      <c r="F78" s="171"/>
      <c r="G78" s="171"/>
      <c r="H78" s="172"/>
    </row>
    <row r="79" spans="1:8" ht="12.75" customHeight="1">
      <c r="A79" s="162" t="s">
        <v>28</v>
      </c>
      <c r="B79" s="163"/>
      <c r="C79" s="163"/>
      <c r="D79" s="163"/>
      <c r="E79" s="163"/>
      <c r="F79" s="163"/>
      <c r="G79" s="163"/>
      <c r="H79" s="164"/>
    </row>
    <row r="80" spans="1:8" ht="15" customHeight="1">
      <c r="A80" s="205">
        <v>1</v>
      </c>
      <c r="B80" s="189" t="s">
        <v>76</v>
      </c>
      <c r="C80" s="17" t="s">
        <v>2</v>
      </c>
      <c r="D80" s="188">
        <v>41636</v>
      </c>
      <c r="E80" s="160" t="s">
        <v>389</v>
      </c>
      <c r="F80" s="20">
        <v>284651.36</v>
      </c>
      <c r="G80" s="20">
        <v>620.97</v>
      </c>
      <c r="H80" s="21">
        <v>1154.27</v>
      </c>
    </row>
    <row r="81" spans="1:8" ht="15">
      <c r="A81" s="205"/>
      <c r="B81" s="189"/>
      <c r="C81" s="17" t="s">
        <v>3</v>
      </c>
      <c r="D81" s="160"/>
      <c r="E81" s="160"/>
      <c r="F81" s="20">
        <v>601691.06</v>
      </c>
      <c r="G81" s="20">
        <v>673.03</v>
      </c>
      <c r="H81" s="21">
        <v>1747.59</v>
      </c>
    </row>
    <row r="82" spans="1:8" ht="15">
      <c r="A82" s="205"/>
      <c r="B82" s="189"/>
      <c r="C82" s="17" t="s">
        <v>4</v>
      </c>
      <c r="D82" s="160"/>
      <c r="E82" s="160"/>
      <c r="F82" s="20">
        <v>726476.83</v>
      </c>
      <c r="G82" s="20">
        <v>910.12</v>
      </c>
      <c r="H82" s="21">
        <v>2220.68</v>
      </c>
    </row>
    <row r="83" spans="1:8" ht="21" customHeight="1">
      <c r="A83" s="205"/>
      <c r="B83" s="189"/>
      <c r="C83" s="25" t="s">
        <v>5</v>
      </c>
      <c r="D83" s="160"/>
      <c r="E83" s="160"/>
      <c r="F83" s="20">
        <v>938952.61</v>
      </c>
      <c r="G83" s="20">
        <v>1245.8</v>
      </c>
      <c r="H83" s="21">
        <v>3226.5</v>
      </c>
    </row>
    <row r="84" spans="1:256" s="8" customFormat="1" ht="15.75" customHeight="1">
      <c r="A84" s="162" t="s">
        <v>29</v>
      </c>
      <c r="B84" s="163"/>
      <c r="C84" s="163"/>
      <c r="D84" s="163"/>
      <c r="E84" s="163"/>
      <c r="F84" s="163"/>
      <c r="G84" s="163"/>
      <c r="H84" s="164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  <c r="AI84" s="233"/>
      <c r="AJ84" s="233"/>
      <c r="AK84" s="233"/>
      <c r="AL84" s="233"/>
      <c r="AM84" s="233"/>
      <c r="AN84" s="233"/>
      <c r="AO84" s="233"/>
      <c r="AP84" s="233"/>
      <c r="AQ84" s="233"/>
      <c r="AR84" s="233"/>
      <c r="AS84" s="233"/>
      <c r="AT84" s="233"/>
      <c r="AU84" s="233"/>
      <c r="AV84" s="233"/>
      <c r="AW84" s="233"/>
      <c r="AX84" s="233"/>
      <c r="AY84" s="233"/>
      <c r="AZ84" s="233"/>
      <c r="BA84" s="233"/>
      <c r="BB84" s="233"/>
      <c r="BC84" s="233"/>
      <c r="BD84" s="233"/>
      <c r="BE84" s="233"/>
      <c r="BF84" s="233"/>
      <c r="BG84" s="233"/>
      <c r="BH84" s="233"/>
      <c r="BI84" s="233"/>
      <c r="BJ84" s="233"/>
      <c r="BK84" s="233"/>
      <c r="BL84" s="233"/>
      <c r="BM84" s="233"/>
      <c r="BN84" s="233"/>
      <c r="BO84" s="233"/>
      <c r="BP84" s="233"/>
      <c r="BQ84" s="233"/>
      <c r="BR84" s="233"/>
      <c r="BS84" s="233"/>
      <c r="BT84" s="233"/>
      <c r="BU84" s="233"/>
      <c r="BV84" s="233"/>
      <c r="BW84" s="233"/>
      <c r="BX84" s="233"/>
      <c r="BY84" s="233"/>
      <c r="BZ84" s="233"/>
      <c r="CA84" s="233"/>
      <c r="CB84" s="233"/>
      <c r="CC84" s="233"/>
      <c r="CD84" s="233"/>
      <c r="CE84" s="233"/>
      <c r="CF84" s="233"/>
      <c r="CG84" s="233"/>
      <c r="CH84" s="233"/>
      <c r="CI84" s="233"/>
      <c r="CJ84" s="233"/>
      <c r="CK84" s="233"/>
      <c r="CL84" s="233"/>
      <c r="CM84" s="233"/>
      <c r="CN84" s="233"/>
      <c r="CO84" s="233"/>
      <c r="CP84" s="233"/>
      <c r="CQ84" s="233"/>
      <c r="CR84" s="233"/>
      <c r="CS84" s="233"/>
      <c r="CT84" s="233"/>
      <c r="CU84" s="233"/>
      <c r="CV84" s="233"/>
      <c r="CW84" s="233"/>
      <c r="CX84" s="233"/>
      <c r="CY84" s="233"/>
      <c r="CZ84" s="233"/>
      <c r="DA84" s="233"/>
      <c r="DB84" s="233"/>
      <c r="DC84" s="233"/>
      <c r="DD84" s="233"/>
      <c r="DE84" s="233"/>
      <c r="DF84" s="233"/>
      <c r="DG84" s="233"/>
      <c r="DH84" s="233"/>
      <c r="DI84" s="233"/>
      <c r="DJ84" s="233"/>
      <c r="DK84" s="233"/>
      <c r="DL84" s="233"/>
      <c r="DM84" s="233"/>
      <c r="DN84" s="233"/>
      <c r="DO84" s="233"/>
      <c r="DP84" s="233"/>
      <c r="DQ84" s="233"/>
      <c r="DR84" s="233"/>
      <c r="DS84" s="233"/>
      <c r="DT84" s="233"/>
      <c r="DU84" s="233"/>
      <c r="DV84" s="233"/>
      <c r="DW84" s="233"/>
      <c r="DX84" s="233"/>
      <c r="DY84" s="233"/>
      <c r="DZ84" s="233"/>
      <c r="EA84" s="233"/>
      <c r="EB84" s="233"/>
      <c r="EC84" s="233"/>
      <c r="ED84" s="233"/>
      <c r="EE84" s="233"/>
      <c r="EF84" s="233"/>
      <c r="EG84" s="233"/>
      <c r="EH84" s="233"/>
      <c r="EI84" s="233"/>
      <c r="EJ84" s="233"/>
      <c r="EK84" s="233"/>
      <c r="EL84" s="233"/>
      <c r="EM84" s="233"/>
      <c r="EN84" s="233"/>
      <c r="EO84" s="233"/>
      <c r="EP84" s="233"/>
      <c r="EQ84" s="233"/>
      <c r="ER84" s="233"/>
      <c r="ES84" s="233"/>
      <c r="ET84" s="233"/>
      <c r="EU84" s="233"/>
      <c r="EV84" s="233"/>
      <c r="EW84" s="233"/>
      <c r="EX84" s="233"/>
      <c r="EY84" s="233"/>
      <c r="EZ84" s="233"/>
      <c r="FA84" s="233"/>
      <c r="FB84" s="233"/>
      <c r="FC84" s="233"/>
      <c r="FD84" s="233"/>
      <c r="FE84" s="233"/>
      <c r="FF84" s="233"/>
      <c r="FG84" s="233"/>
      <c r="FH84" s="233"/>
      <c r="FI84" s="233"/>
      <c r="FJ84" s="233"/>
      <c r="FK84" s="233"/>
      <c r="FL84" s="233"/>
      <c r="FM84" s="233"/>
      <c r="FN84" s="233"/>
      <c r="FO84" s="233"/>
      <c r="FP84" s="233"/>
      <c r="FQ84" s="233"/>
      <c r="FR84" s="233"/>
      <c r="FS84" s="233"/>
      <c r="FT84" s="233"/>
      <c r="FU84" s="233"/>
      <c r="FV84" s="233"/>
      <c r="FW84" s="233"/>
      <c r="FX84" s="233"/>
      <c r="FY84" s="233"/>
      <c r="FZ84" s="233"/>
      <c r="GA84" s="233"/>
      <c r="GB84" s="233"/>
      <c r="GC84" s="233"/>
      <c r="GD84" s="233"/>
      <c r="GE84" s="233"/>
      <c r="GF84" s="233"/>
      <c r="GG84" s="233"/>
      <c r="GH84" s="233"/>
      <c r="GI84" s="233"/>
      <c r="GJ84" s="233"/>
      <c r="GK84" s="233"/>
      <c r="GL84" s="233"/>
      <c r="GM84" s="233"/>
      <c r="GN84" s="233"/>
      <c r="GO84" s="233"/>
      <c r="GP84" s="233"/>
      <c r="GQ84" s="233"/>
      <c r="GR84" s="233"/>
      <c r="GS84" s="233"/>
      <c r="GT84" s="233"/>
      <c r="GU84" s="233"/>
      <c r="GV84" s="233"/>
      <c r="GW84" s="233"/>
      <c r="GX84" s="233"/>
      <c r="GY84" s="233"/>
      <c r="GZ84" s="233"/>
      <c r="HA84" s="233"/>
      <c r="HB84" s="233"/>
      <c r="HC84" s="233"/>
      <c r="HD84" s="233"/>
      <c r="HE84" s="233"/>
      <c r="HF84" s="233"/>
      <c r="HG84" s="233"/>
      <c r="HH84" s="233"/>
      <c r="HI84" s="233"/>
      <c r="HJ84" s="233"/>
      <c r="HK84" s="233"/>
      <c r="HL84" s="233"/>
      <c r="HM84" s="233"/>
      <c r="HN84" s="233"/>
      <c r="HO84" s="233"/>
      <c r="HP84" s="233"/>
      <c r="HQ84" s="233"/>
      <c r="HR84" s="233"/>
      <c r="HS84" s="233"/>
      <c r="HT84" s="233"/>
      <c r="HU84" s="233"/>
      <c r="HV84" s="233"/>
      <c r="HW84" s="233"/>
      <c r="HX84" s="233"/>
      <c r="HY84" s="233"/>
      <c r="HZ84" s="233"/>
      <c r="IA84" s="233"/>
      <c r="IB84" s="233"/>
      <c r="IC84" s="233"/>
      <c r="ID84" s="233"/>
      <c r="IE84" s="233"/>
      <c r="IF84" s="233"/>
      <c r="IG84" s="233"/>
      <c r="IH84" s="233"/>
      <c r="II84" s="233"/>
      <c r="IJ84" s="233"/>
      <c r="IK84" s="233"/>
      <c r="IL84" s="233"/>
      <c r="IM84" s="233"/>
      <c r="IN84" s="233"/>
      <c r="IO84" s="233"/>
      <c r="IP84" s="233"/>
      <c r="IQ84" s="233"/>
      <c r="IR84" s="233"/>
      <c r="IS84" s="233"/>
      <c r="IT84" s="233"/>
      <c r="IU84" s="233"/>
      <c r="IV84" s="233"/>
    </row>
    <row r="85" spans="1:8" ht="15" customHeight="1">
      <c r="A85" s="205">
        <v>2</v>
      </c>
      <c r="B85" s="189" t="s">
        <v>76</v>
      </c>
      <c r="C85" s="17" t="s">
        <v>2</v>
      </c>
      <c r="D85" s="188">
        <f>D80</f>
        <v>41636</v>
      </c>
      <c r="E85" s="160" t="s">
        <v>389</v>
      </c>
      <c r="F85" s="160" t="s">
        <v>32</v>
      </c>
      <c r="G85" s="160" t="s">
        <v>32</v>
      </c>
      <c r="H85" s="235">
        <v>737.3</v>
      </c>
    </row>
    <row r="86" spans="1:8" ht="15">
      <c r="A86" s="205"/>
      <c r="B86" s="189"/>
      <c r="C86" s="17" t="s">
        <v>3</v>
      </c>
      <c r="D86" s="160"/>
      <c r="E86" s="160"/>
      <c r="F86" s="160"/>
      <c r="G86" s="160"/>
      <c r="H86" s="235"/>
    </row>
    <row r="87" spans="1:8" ht="18" customHeight="1">
      <c r="A87" s="205"/>
      <c r="B87" s="189"/>
      <c r="C87" s="17" t="s">
        <v>4</v>
      </c>
      <c r="D87" s="160"/>
      <c r="E87" s="160"/>
      <c r="F87" s="160"/>
      <c r="G87" s="160"/>
      <c r="H87" s="235"/>
    </row>
    <row r="88" spans="1:8" ht="15.75" thickBot="1">
      <c r="A88" s="234"/>
      <c r="B88" s="231"/>
      <c r="C88" s="28" t="s">
        <v>5</v>
      </c>
      <c r="D88" s="178"/>
      <c r="E88" s="178"/>
      <c r="F88" s="178"/>
      <c r="G88" s="178"/>
      <c r="H88" s="236"/>
    </row>
    <row r="89" spans="1:8" ht="29.25" customHeight="1" thickBot="1">
      <c r="A89" s="184" t="s">
        <v>381</v>
      </c>
      <c r="B89" s="185"/>
      <c r="C89" s="185"/>
      <c r="D89" s="185"/>
      <c r="E89" s="185"/>
      <c r="F89" s="185"/>
      <c r="G89" s="185"/>
      <c r="H89" s="186"/>
    </row>
    <row r="90" spans="1:8" ht="15" customHeight="1">
      <c r="A90" s="218" t="s">
        <v>25</v>
      </c>
      <c r="B90" s="219"/>
      <c r="C90" s="219"/>
      <c r="D90" s="219"/>
      <c r="E90" s="219"/>
      <c r="F90" s="219"/>
      <c r="G90" s="219"/>
      <c r="H90" s="220"/>
    </row>
    <row r="91" spans="1:8" ht="13.5" customHeight="1">
      <c r="A91" s="162" t="s">
        <v>430</v>
      </c>
      <c r="B91" s="163"/>
      <c r="C91" s="163"/>
      <c r="D91" s="163"/>
      <c r="E91" s="163"/>
      <c r="F91" s="163"/>
      <c r="G91" s="163"/>
      <c r="H91" s="164"/>
    </row>
    <row r="92" spans="1:8" ht="15" customHeight="1">
      <c r="A92" s="205">
        <v>1</v>
      </c>
      <c r="B92" s="189" t="s">
        <v>77</v>
      </c>
      <c r="C92" s="17" t="s">
        <v>2</v>
      </c>
      <c r="D92" s="188">
        <v>41649</v>
      </c>
      <c r="E92" s="160" t="s">
        <v>78</v>
      </c>
      <c r="F92" s="160" t="s">
        <v>32</v>
      </c>
      <c r="G92" s="160" t="s">
        <v>32</v>
      </c>
      <c r="H92" s="161">
        <v>893.86</v>
      </c>
    </row>
    <row r="93" spans="1:8" ht="15">
      <c r="A93" s="205"/>
      <c r="B93" s="189"/>
      <c r="C93" s="17" t="s">
        <v>3</v>
      </c>
      <c r="D93" s="188"/>
      <c r="E93" s="160"/>
      <c r="F93" s="160"/>
      <c r="G93" s="160"/>
      <c r="H93" s="161"/>
    </row>
    <row r="94" spans="1:8" ht="15">
      <c r="A94" s="205"/>
      <c r="B94" s="189"/>
      <c r="C94" s="17" t="s">
        <v>4</v>
      </c>
      <c r="D94" s="188"/>
      <c r="E94" s="160"/>
      <c r="F94" s="160"/>
      <c r="G94" s="160"/>
      <c r="H94" s="161"/>
    </row>
    <row r="95" spans="1:8" ht="15">
      <c r="A95" s="205"/>
      <c r="B95" s="189"/>
      <c r="C95" s="25" t="s">
        <v>5</v>
      </c>
      <c r="D95" s="188"/>
      <c r="E95" s="160"/>
      <c r="F95" s="160"/>
      <c r="G95" s="160"/>
      <c r="H95" s="161"/>
    </row>
    <row r="96" spans="1:8" ht="15.75" customHeight="1">
      <c r="A96" s="162" t="s">
        <v>378</v>
      </c>
      <c r="B96" s="163"/>
      <c r="C96" s="163" t="s">
        <v>378</v>
      </c>
      <c r="D96" s="163"/>
      <c r="E96" s="163"/>
      <c r="F96" s="163"/>
      <c r="G96" s="163"/>
      <c r="H96" s="164"/>
    </row>
    <row r="97" spans="1:8" ht="30" customHeight="1">
      <c r="A97" s="162" t="s">
        <v>376</v>
      </c>
      <c r="B97" s="163"/>
      <c r="C97" s="163"/>
      <c r="D97" s="163"/>
      <c r="E97" s="163"/>
      <c r="F97" s="163"/>
      <c r="G97" s="163"/>
      <c r="H97" s="164"/>
    </row>
    <row r="98" spans="1:8" ht="15" customHeight="1">
      <c r="A98" s="205">
        <v>2</v>
      </c>
      <c r="B98" s="189" t="s">
        <v>77</v>
      </c>
      <c r="C98" s="17" t="s">
        <v>2</v>
      </c>
      <c r="D98" s="188">
        <v>41649</v>
      </c>
      <c r="E98" s="160" t="s">
        <v>78</v>
      </c>
      <c r="F98" s="24">
        <v>886161.514</v>
      </c>
      <c r="G98" s="24">
        <v>107.595</v>
      </c>
      <c r="H98" s="26">
        <v>1457.311</v>
      </c>
    </row>
    <row r="99" spans="1:8" ht="15">
      <c r="A99" s="205"/>
      <c r="B99" s="189"/>
      <c r="C99" s="17" t="s">
        <v>3</v>
      </c>
      <c r="D99" s="188"/>
      <c r="E99" s="160"/>
      <c r="F99" s="24">
        <v>1351077.435</v>
      </c>
      <c r="G99" s="24">
        <v>229.268</v>
      </c>
      <c r="H99" s="26">
        <v>2307.596</v>
      </c>
    </row>
    <row r="100" spans="1:8" ht="15">
      <c r="A100" s="205"/>
      <c r="B100" s="189"/>
      <c r="C100" s="17" t="s">
        <v>4</v>
      </c>
      <c r="D100" s="188"/>
      <c r="E100" s="160"/>
      <c r="F100" s="24">
        <v>1374138.351</v>
      </c>
      <c r="G100" s="24">
        <v>255.412</v>
      </c>
      <c r="H100" s="26">
        <v>2404.747</v>
      </c>
    </row>
    <row r="101" spans="1:8" ht="27" customHeight="1">
      <c r="A101" s="205"/>
      <c r="B101" s="189"/>
      <c r="C101" s="25" t="s">
        <v>5</v>
      </c>
      <c r="D101" s="188"/>
      <c r="E101" s="160"/>
      <c r="F101" s="24">
        <v>1397246.634</v>
      </c>
      <c r="G101" s="24">
        <v>664.675</v>
      </c>
      <c r="H101" s="26">
        <v>2822.073</v>
      </c>
    </row>
    <row r="102" spans="1:8" ht="27.75" customHeight="1">
      <c r="A102" s="162" t="s">
        <v>377</v>
      </c>
      <c r="B102" s="163"/>
      <c r="C102" s="163"/>
      <c r="D102" s="163"/>
      <c r="E102" s="163"/>
      <c r="F102" s="163"/>
      <c r="G102" s="163"/>
      <c r="H102" s="164"/>
    </row>
    <row r="103" spans="1:8" ht="15" customHeight="1">
      <c r="A103" s="205">
        <v>3</v>
      </c>
      <c r="B103" s="189" t="s">
        <v>77</v>
      </c>
      <c r="C103" s="17" t="s">
        <v>2</v>
      </c>
      <c r="D103" s="188">
        <v>41649</v>
      </c>
      <c r="E103" s="160" t="s">
        <v>78</v>
      </c>
      <c r="F103" s="24">
        <v>886161.514</v>
      </c>
      <c r="G103" s="17" t="s">
        <v>32</v>
      </c>
      <c r="H103" s="22" t="s">
        <v>32</v>
      </c>
    </row>
    <row r="104" spans="1:8" ht="15">
      <c r="A104" s="205"/>
      <c r="B104" s="189"/>
      <c r="C104" s="17" t="s">
        <v>3</v>
      </c>
      <c r="D104" s="188"/>
      <c r="E104" s="160"/>
      <c r="F104" s="24">
        <v>1351077.435</v>
      </c>
      <c r="G104" s="17" t="s">
        <v>32</v>
      </c>
      <c r="H104" s="22" t="s">
        <v>32</v>
      </c>
    </row>
    <row r="105" spans="1:8" ht="15">
      <c r="A105" s="205"/>
      <c r="B105" s="189"/>
      <c r="C105" s="17" t="s">
        <v>4</v>
      </c>
      <c r="D105" s="188"/>
      <c r="E105" s="160"/>
      <c r="F105" s="24">
        <v>1374138.351</v>
      </c>
      <c r="G105" s="17" t="s">
        <v>32</v>
      </c>
      <c r="H105" s="22" t="s">
        <v>32</v>
      </c>
    </row>
    <row r="106" spans="1:8" ht="13.5" customHeight="1">
      <c r="A106" s="205"/>
      <c r="B106" s="189"/>
      <c r="C106" s="25" t="s">
        <v>5</v>
      </c>
      <c r="D106" s="188"/>
      <c r="E106" s="160"/>
      <c r="F106" s="24">
        <v>1397246.634</v>
      </c>
      <c r="G106" s="17" t="s">
        <v>32</v>
      </c>
      <c r="H106" s="22" t="s">
        <v>32</v>
      </c>
    </row>
    <row r="107" spans="1:8" ht="14.25" customHeight="1">
      <c r="A107" s="170" t="s">
        <v>26</v>
      </c>
      <c r="B107" s="171"/>
      <c r="C107" s="171"/>
      <c r="D107" s="171"/>
      <c r="E107" s="171"/>
      <c r="F107" s="171"/>
      <c r="G107" s="171"/>
      <c r="H107" s="172"/>
    </row>
    <row r="108" spans="1:8" ht="14.25" customHeight="1">
      <c r="A108" s="162" t="str">
        <f>A91</f>
        <v>1.Население и приравненные к нему категории потребителей</v>
      </c>
      <c r="B108" s="163"/>
      <c r="C108" s="163"/>
      <c r="D108" s="163"/>
      <c r="E108" s="163"/>
      <c r="F108" s="163"/>
      <c r="G108" s="163"/>
      <c r="H108" s="164"/>
    </row>
    <row r="109" spans="1:8" ht="15" customHeight="1">
      <c r="A109" s="205">
        <v>1</v>
      </c>
      <c r="B109" s="189" t="s">
        <v>77</v>
      </c>
      <c r="C109" s="17" t="s">
        <v>2</v>
      </c>
      <c r="D109" s="188">
        <v>41649</v>
      </c>
      <c r="E109" s="160" t="s">
        <v>78</v>
      </c>
      <c r="F109" s="160" t="s">
        <v>32</v>
      </c>
      <c r="G109" s="160" t="s">
        <v>32</v>
      </c>
      <c r="H109" s="230">
        <v>1069.861</v>
      </c>
    </row>
    <row r="110" spans="1:8" ht="15">
      <c r="A110" s="205"/>
      <c r="B110" s="189"/>
      <c r="C110" s="17" t="s">
        <v>3</v>
      </c>
      <c r="D110" s="188"/>
      <c r="E110" s="160"/>
      <c r="F110" s="160"/>
      <c r="G110" s="160"/>
      <c r="H110" s="230"/>
    </row>
    <row r="111" spans="1:8" ht="13.5" customHeight="1">
      <c r="A111" s="205"/>
      <c r="B111" s="189"/>
      <c r="C111" s="17" t="s">
        <v>4</v>
      </c>
      <c r="D111" s="188"/>
      <c r="E111" s="160"/>
      <c r="F111" s="160"/>
      <c r="G111" s="160"/>
      <c r="H111" s="230"/>
    </row>
    <row r="112" spans="1:8" ht="15">
      <c r="A112" s="205"/>
      <c r="B112" s="189"/>
      <c r="C112" s="25" t="s">
        <v>5</v>
      </c>
      <c r="D112" s="188"/>
      <c r="E112" s="160"/>
      <c r="F112" s="160"/>
      <c r="G112" s="160"/>
      <c r="H112" s="230"/>
    </row>
    <row r="113" spans="1:8" ht="14.25">
      <c r="A113" s="162" t="s">
        <v>378</v>
      </c>
      <c r="B113" s="163"/>
      <c r="C113" s="163"/>
      <c r="D113" s="163"/>
      <c r="E113" s="163"/>
      <c r="F113" s="163"/>
      <c r="G113" s="163"/>
      <c r="H113" s="164"/>
    </row>
    <row r="114" spans="1:8" ht="32.25" customHeight="1">
      <c r="A114" s="162" t="str">
        <f>A97</f>
        <v>2.1  Прочие потребители, за исключением потребителей, энергопринимающие устройства которых присоединены к электрическим сетям сетевой организации через энергетические установки производителя электрической энергии</v>
      </c>
      <c r="B114" s="163"/>
      <c r="C114" s="163"/>
      <c r="D114" s="163"/>
      <c r="E114" s="163"/>
      <c r="F114" s="163"/>
      <c r="G114" s="163"/>
      <c r="H114" s="164"/>
    </row>
    <row r="115" spans="1:8" ht="15">
      <c r="A115" s="205">
        <v>2</v>
      </c>
      <c r="B115" s="189" t="s">
        <v>77</v>
      </c>
      <c r="C115" s="17" t="s">
        <v>2</v>
      </c>
      <c r="D115" s="188">
        <v>41649</v>
      </c>
      <c r="E115" s="160" t="s">
        <v>78</v>
      </c>
      <c r="F115" s="24">
        <v>886161.514</v>
      </c>
      <c r="G115" s="24">
        <v>107.595</v>
      </c>
      <c r="H115" s="26">
        <v>1423.46</v>
      </c>
    </row>
    <row r="116" spans="1:8" ht="14.25" customHeight="1">
      <c r="A116" s="205"/>
      <c r="B116" s="160"/>
      <c r="C116" s="17" t="s">
        <v>3</v>
      </c>
      <c r="D116" s="188"/>
      <c r="E116" s="160"/>
      <c r="F116" s="24">
        <v>1351077.435</v>
      </c>
      <c r="G116" s="24">
        <v>229.268</v>
      </c>
      <c r="H116" s="26">
        <v>2277.591</v>
      </c>
    </row>
    <row r="117" spans="1:8" ht="13.5" customHeight="1">
      <c r="A117" s="205"/>
      <c r="B117" s="160"/>
      <c r="C117" s="17" t="s">
        <v>4</v>
      </c>
      <c r="D117" s="188"/>
      <c r="E117" s="160"/>
      <c r="F117" s="24">
        <v>1374138.351</v>
      </c>
      <c r="G117" s="24">
        <v>255.412</v>
      </c>
      <c r="H117" s="26">
        <v>2348.916</v>
      </c>
    </row>
    <row r="118" spans="1:8" ht="15">
      <c r="A118" s="205"/>
      <c r="B118" s="160"/>
      <c r="C118" s="25" t="s">
        <v>5</v>
      </c>
      <c r="D118" s="188"/>
      <c r="E118" s="160"/>
      <c r="F118" s="24">
        <v>1397246.634</v>
      </c>
      <c r="G118" s="24">
        <v>664.675</v>
      </c>
      <c r="H118" s="26">
        <v>2775.764</v>
      </c>
    </row>
    <row r="119" spans="1:8" ht="32.25" customHeight="1">
      <c r="A119" s="162" t="str">
        <f>A102</f>
        <v>2.2 Прочие потребители, энергопринимающие устройства которых присоединены к электрическим сетям сетевой организации через энергетические установки производителя электрической энергии</v>
      </c>
      <c r="B119" s="163"/>
      <c r="C119" s="163"/>
      <c r="D119" s="163"/>
      <c r="E119" s="163"/>
      <c r="F119" s="163"/>
      <c r="G119" s="163"/>
      <c r="H119" s="164"/>
    </row>
    <row r="120" spans="1:8" ht="15" customHeight="1">
      <c r="A120" s="205">
        <v>3</v>
      </c>
      <c r="B120" s="189" t="s">
        <v>77</v>
      </c>
      <c r="C120" s="17" t="s">
        <v>2</v>
      </c>
      <c r="D120" s="188">
        <v>41649</v>
      </c>
      <c r="E120" s="160" t="s">
        <v>78</v>
      </c>
      <c r="F120" s="24">
        <v>886161.514</v>
      </c>
      <c r="G120" s="17" t="s">
        <v>32</v>
      </c>
      <c r="H120" s="22" t="s">
        <v>32</v>
      </c>
    </row>
    <row r="121" spans="1:8" ht="15">
      <c r="A121" s="205"/>
      <c r="B121" s="189"/>
      <c r="C121" s="17" t="s">
        <v>3</v>
      </c>
      <c r="D121" s="188"/>
      <c r="E121" s="160"/>
      <c r="F121" s="24">
        <v>1351077.435</v>
      </c>
      <c r="G121" s="17" t="s">
        <v>32</v>
      </c>
      <c r="H121" s="22" t="s">
        <v>32</v>
      </c>
    </row>
    <row r="122" spans="1:8" ht="14.25" customHeight="1">
      <c r="A122" s="205"/>
      <c r="B122" s="189"/>
      <c r="C122" s="17" t="s">
        <v>4</v>
      </c>
      <c r="D122" s="188"/>
      <c r="E122" s="160"/>
      <c r="F122" s="24">
        <v>1374138.351</v>
      </c>
      <c r="G122" s="17" t="s">
        <v>32</v>
      </c>
      <c r="H122" s="22" t="s">
        <v>32</v>
      </c>
    </row>
    <row r="123" spans="1:8" ht="13.5" customHeight="1" thickBot="1">
      <c r="A123" s="234"/>
      <c r="B123" s="231"/>
      <c r="C123" s="28" t="s">
        <v>5</v>
      </c>
      <c r="D123" s="262"/>
      <c r="E123" s="178"/>
      <c r="F123" s="38">
        <v>1397246.634</v>
      </c>
      <c r="G123" s="27" t="s">
        <v>32</v>
      </c>
      <c r="H123" s="39" t="s">
        <v>32</v>
      </c>
    </row>
    <row r="124" spans="1:8" ht="32.25" customHeight="1" thickBot="1">
      <c r="A124" s="184" t="s">
        <v>382</v>
      </c>
      <c r="B124" s="185"/>
      <c r="C124" s="185"/>
      <c r="D124" s="185"/>
      <c r="E124" s="185"/>
      <c r="F124" s="185"/>
      <c r="G124" s="185"/>
      <c r="H124" s="186"/>
    </row>
    <row r="125" spans="1:8" ht="21.75" customHeight="1">
      <c r="A125" s="218" t="s">
        <v>25</v>
      </c>
      <c r="B125" s="219"/>
      <c r="C125" s="219"/>
      <c r="D125" s="219"/>
      <c r="E125" s="219"/>
      <c r="F125" s="219"/>
      <c r="G125" s="219"/>
      <c r="H125" s="220"/>
    </row>
    <row r="126" spans="1:8" ht="21.75" customHeight="1">
      <c r="A126" s="162" t="s">
        <v>28</v>
      </c>
      <c r="B126" s="163"/>
      <c r="C126" s="163"/>
      <c r="D126" s="163"/>
      <c r="E126" s="163"/>
      <c r="F126" s="163"/>
      <c r="G126" s="163"/>
      <c r="H126" s="164"/>
    </row>
    <row r="127" spans="1:8" ht="17.25" customHeight="1">
      <c r="A127" s="182">
        <v>1</v>
      </c>
      <c r="B127" s="189" t="str">
        <f>B133</f>
        <v>№163  от 20.12.2013г.</v>
      </c>
      <c r="C127" s="29" t="s">
        <v>2</v>
      </c>
      <c r="D127" s="225">
        <f>D133</f>
        <v>41633</v>
      </c>
      <c r="E127" s="224" t="str">
        <f>E133</f>
        <v>Газета "Курск" №52, http://tarifkursk.ru</v>
      </c>
      <c r="F127" s="30">
        <f>651.071865*1000</f>
        <v>651071.865</v>
      </c>
      <c r="G127" s="31">
        <f>0.05996*1000</f>
        <v>59.96</v>
      </c>
      <c r="H127" s="32">
        <f>0.99182*1000</f>
        <v>991.82</v>
      </c>
    </row>
    <row r="128" spans="1:8" ht="17.25" customHeight="1">
      <c r="A128" s="182"/>
      <c r="B128" s="189"/>
      <c r="C128" s="29" t="s">
        <v>3</v>
      </c>
      <c r="D128" s="225"/>
      <c r="E128" s="224"/>
      <c r="F128" s="30">
        <f>1359.515212*1000</f>
        <v>1359515.212</v>
      </c>
      <c r="G128" s="31">
        <f>0.15596*1000</f>
        <v>155.95999999999998</v>
      </c>
      <c r="H128" s="33">
        <f>1.93378*1000</f>
        <v>1933.78</v>
      </c>
    </row>
    <row r="129" spans="1:8" ht="17.25" customHeight="1">
      <c r="A129" s="182"/>
      <c r="B129" s="189"/>
      <c r="C129" s="29" t="s">
        <v>4</v>
      </c>
      <c r="D129" s="225"/>
      <c r="E129" s="224"/>
      <c r="F129" s="30">
        <f>1438.117438*1000</f>
        <v>1438117.438</v>
      </c>
      <c r="G129" s="31">
        <f>0.26471*1000</f>
        <v>264.71</v>
      </c>
      <c r="H129" s="33">
        <f>2.47672*1000</f>
        <v>2476.72</v>
      </c>
    </row>
    <row r="130" spans="1:8" ht="17.25" customHeight="1">
      <c r="A130" s="182"/>
      <c r="B130" s="189"/>
      <c r="C130" s="34" t="s">
        <v>5</v>
      </c>
      <c r="D130" s="225"/>
      <c r="E130" s="224"/>
      <c r="F130" s="30">
        <f>1848.426781*1000</f>
        <v>1848426.781</v>
      </c>
      <c r="G130" s="31">
        <f>0.70273*1000</f>
        <v>702.73</v>
      </c>
      <c r="H130" s="32">
        <f>3.17312*1000</f>
        <v>3173.12</v>
      </c>
    </row>
    <row r="131" spans="1:8" ht="24.75" customHeight="1">
      <c r="A131" s="182"/>
      <c r="B131" s="189"/>
      <c r="C131" s="34" t="s">
        <v>27</v>
      </c>
      <c r="D131" s="225"/>
      <c r="E131" s="224"/>
      <c r="F131" s="35"/>
      <c r="G131" s="35"/>
      <c r="H131" s="22" t="s">
        <v>32</v>
      </c>
    </row>
    <row r="132" spans="1:8" ht="15" customHeight="1">
      <c r="A132" s="162" t="s">
        <v>29</v>
      </c>
      <c r="B132" s="163"/>
      <c r="C132" s="163"/>
      <c r="D132" s="163"/>
      <c r="E132" s="163"/>
      <c r="F132" s="163"/>
      <c r="G132" s="163"/>
      <c r="H132" s="164"/>
    </row>
    <row r="133" spans="1:8" ht="20.25" customHeight="1">
      <c r="A133" s="205">
        <v>2</v>
      </c>
      <c r="B133" s="189" t="s">
        <v>207</v>
      </c>
      <c r="C133" s="29" t="s">
        <v>2</v>
      </c>
      <c r="D133" s="225">
        <v>41633</v>
      </c>
      <c r="E133" s="224" t="s">
        <v>176</v>
      </c>
      <c r="F133" s="232" t="s">
        <v>32</v>
      </c>
      <c r="G133" s="232" t="s">
        <v>32</v>
      </c>
      <c r="H133" s="228">
        <f>1.09919*1000</f>
        <v>1099.1899999999998</v>
      </c>
    </row>
    <row r="134" spans="1:8" ht="15" customHeight="1">
      <c r="A134" s="205"/>
      <c r="B134" s="189"/>
      <c r="C134" s="29" t="s">
        <v>3</v>
      </c>
      <c r="D134" s="225"/>
      <c r="E134" s="224"/>
      <c r="F134" s="232"/>
      <c r="G134" s="232"/>
      <c r="H134" s="228"/>
    </row>
    <row r="135" spans="1:8" ht="15" customHeight="1">
      <c r="A135" s="205"/>
      <c r="B135" s="189"/>
      <c r="C135" s="29" t="s">
        <v>4</v>
      </c>
      <c r="D135" s="225"/>
      <c r="E135" s="224"/>
      <c r="F135" s="232"/>
      <c r="G135" s="232"/>
      <c r="H135" s="228"/>
    </row>
    <row r="136" spans="1:8" ht="15" customHeight="1">
      <c r="A136" s="205"/>
      <c r="B136" s="189"/>
      <c r="C136" s="34" t="s">
        <v>5</v>
      </c>
      <c r="D136" s="225"/>
      <c r="E136" s="224"/>
      <c r="F136" s="232"/>
      <c r="G136" s="232"/>
      <c r="H136" s="228"/>
    </row>
    <row r="137" spans="1:8" ht="14.25">
      <c r="A137" s="170" t="s">
        <v>26</v>
      </c>
      <c r="B137" s="171"/>
      <c r="C137" s="171"/>
      <c r="D137" s="171"/>
      <c r="E137" s="171"/>
      <c r="F137" s="171"/>
      <c r="G137" s="171"/>
      <c r="H137" s="172"/>
    </row>
    <row r="138" spans="1:8" ht="15" customHeight="1">
      <c r="A138" s="162" t="str">
        <f>A126</f>
        <v>1. Прочие потребители</v>
      </c>
      <c r="B138" s="163"/>
      <c r="C138" s="163"/>
      <c r="D138" s="163"/>
      <c r="E138" s="163"/>
      <c r="F138" s="163"/>
      <c r="G138" s="163"/>
      <c r="H138" s="164"/>
    </row>
    <row r="139" spans="1:8" ht="18" customHeight="1">
      <c r="A139" s="182">
        <v>1</v>
      </c>
      <c r="B139" s="189" t="str">
        <f>B127</f>
        <v>№163  от 20.12.2013г.</v>
      </c>
      <c r="C139" s="29" t="s">
        <v>2</v>
      </c>
      <c r="D139" s="225">
        <f>D127</f>
        <v>41633</v>
      </c>
      <c r="E139" s="224" t="str">
        <f>E127</f>
        <v>Газета "Курск" №52, http://tarifkursk.ru</v>
      </c>
      <c r="F139" s="30">
        <f>646.209702*1000</f>
        <v>646209.702</v>
      </c>
      <c r="G139" s="30">
        <f>0.05996*1000</f>
        <v>59.96</v>
      </c>
      <c r="H139" s="40">
        <f>0.99182*1000</f>
        <v>991.82</v>
      </c>
    </row>
    <row r="140" spans="1:8" ht="15" customHeight="1">
      <c r="A140" s="182"/>
      <c r="B140" s="189"/>
      <c r="C140" s="29" t="s">
        <v>3</v>
      </c>
      <c r="D140" s="225"/>
      <c r="E140" s="224"/>
      <c r="F140" s="30">
        <f>1345.670291*1000</f>
        <v>1345670.291</v>
      </c>
      <c r="G140" s="30">
        <f>0.15596*1000</f>
        <v>155.95999999999998</v>
      </c>
      <c r="H140" s="40">
        <f>1.93378*1000</f>
        <v>1933.78</v>
      </c>
    </row>
    <row r="141" spans="1:8" ht="15" customHeight="1">
      <c r="A141" s="182"/>
      <c r="B141" s="189"/>
      <c r="C141" s="29" t="s">
        <v>4</v>
      </c>
      <c r="D141" s="225"/>
      <c r="E141" s="224"/>
      <c r="F141" s="30">
        <f>1427.247592*1000</f>
        <v>1427247.592</v>
      </c>
      <c r="G141" s="30">
        <f>0.26471*1000</f>
        <v>264.71</v>
      </c>
      <c r="H141" s="40">
        <f>2.47672*1000</f>
        <v>2476.72</v>
      </c>
    </row>
    <row r="142" spans="1:8" ht="15" customHeight="1">
      <c r="A142" s="182"/>
      <c r="B142" s="189"/>
      <c r="C142" s="34" t="s">
        <v>5</v>
      </c>
      <c r="D142" s="225"/>
      <c r="E142" s="224"/>
      <c r="F142" s="30">
        <f>1816.342552*1000</f>
        <v>1816342.5520000001</v>
      </c>
      <c r="G142" s="30">
        <f>0.70273*1000</f>
        <v>702.73</v>
      </c>
      <c r="H142" s="40">
        <f>3.17312*1000</f>
        <v>3173.12</v>
      </c>
    </row>
    <row r="143" spans="1:8" ht="27" customHeight="1">
      <c r="A143" s="182"/>
      <c r="B143" s="189"/>
      <c r="C143" s="34" t="s">
        <v>27</v>
      </c>
      <c r="D143" s="225"/>
      <c r="E143" s="224"/>
      <c r="F143" s="36"/>
      <c r="G143" s="37"/>
      <c r="H143" s="22" t="s">
        <v>32</v>
      </c>
    </row>
    <row r="144" spans="1:8" ht="15" customHeight="1">
      <c r="A144" s="162" t="str">
        <f>A132</f>
        <v>2. Население и приравненные к нему категории потребителей</v>
      </c>
      <c r="B144" s="163"/>
      <c r="C144" s="163"/>
      <c r="D144" s="163"/>
      <c r="E144" s="163"/>
      <c r="F144" s="163"/>
      <c r="G144" s="163"/>
      <c r="H144" s="164"/>
    </row>
    <row r="145" spans="1:8" ht="15" customHeight="1">
      <c r="A145" s="205">
        <v>2</v>
      </c>
      <c r="B145" s="189" t="str">
        <f>B133</f>
        <v>№163  от 20.12.2013г.</v>
      </c>
      <c r="C145" s="29" t="s">
        <v>2</v>
      </c>
      <c r="D145" s="225">
        <f>D133</f>
        <v>41633</v>
      </c>
      <c r="E145" s="224" t="str">
        <f>E133</f>
        <v>Газета "Курск" №52, http://tarifkursk.ru</v>
      </c>
      <c r="F145" s="160" t="s">
        <v>32</v>
      </c>
      <c r="G145" s="160" t="s">
        <v>32</v>
      </c>
      <c r="H145" s="228">
        <f>1.155*1000</f>
        <v>1155</v>
      </c>
    </row>
    <row r="146" spans="1:8" ht="15" customHeight="1">
      <c r="A146" s="205"/>
      <c r="B146" s="189"/>
      <c r="C146" s="29" t="s">
        <v>3</v>
      </c>
      <c r="D146" s="225"/>
      <c r="E146" s="224"/>
      <c r="F146" s="160"/>
      <c r="G146" s="160"/>
      <c r="H146" s="228"/>
    </row>
    <row r="147" spans="1:8" ht="15" customHeight="1">
      <c r="A147" s="205"/>
      <c r="B147" s="189"/>
      <c r="C147" s="29" t="s">
        <v>4</v>
      </c>
      <c r="D147" s="225"/>
      <c r="E147" s="224"/>
      <c r="F147" s="160"/>
      <c r="G147" s="160"/>
      <c r="H147" s="228"/>
    </row>
    <row r="148" spans="1:8" ht="16.5" customHeight="1" thickBot="1">
      <c r="A148" s="226"/>
      <c r="B148" s="227"/>
      <c r="C148" s="41" t="s">
        <v>5</v>
      </c>
      <c r="D148" s="237"/>
      <c r="E148" s="238"/>
      <c r="F148" s="190"/>
      <c r="G148" s="190"/>
      <c r="H148" s="229"/>
    </row>
    <row r="149" spans="1:8" ht="29.25" customHeight="1" thickBot="1">
      <c r="A149" s="202" t="s">
        <v>383</v>
      </c>
      <c r="B149" s="203"/>
      <c r="C149" s="203"/>
      <c r="D149" s="203"/>
      <c r="E149" s="203"/>
      <c r="F149" s="203"/>
      <c r="G149" s="203"/>
      <c r="H149" s="204"/>
    </row>
    <row r="150" spans="1:8" ht="14.25" customHeight="1" thickBot="1">
      <c r="A150" s="206" t="s">
        <v>25</v>
      </c>
      <c r="B150" s="207"/>
      <c r="C150" s="207"/>
      <c r="D150" s="207"/>
      <c r="E150" s="207"/>
      <c r="F150" s="207"/>
      <c r="G150" s="207"/>
      <c r="H150" s="208"/>
    </row>
    <row r="151" spans="1:8" ht="14.25" customHeight="1">
      <c r="A151" s="209" t="s">
        <v>28</v>
      </c>
      <c r="B151" s="210"/>
      <c r="C151" s="210"/>
      <c r="D151" s="210"/>
      <c r="E151" s="210"/>
      <c r="F151" s="210"/>
      <c r="G151" s="210"/>
      <c r="H151" s="211"/>
    </row>
    <row r="152" spans="1:8" ht="15">
      <c r="A152" s="205">
        <v>1</v>
      </c>
      <c r="B152" s="189" t="s">
        <v>208</v>
      </c>
      <c r="C152" s="17" t="s">
        <v>2</v>
      </c>
      <c r="D152" s="160" t="s">
        <v>435</v>
      </c>
      <c r="E152" s="160" t="s">
        <v>436</v>
      </c>
      <c r="F152" s="20">
        <v>800046.93</v>
      </c>
      <c r="G152" s="20">
        <v>70.14</v>
      </c>
      <c r="H152" s="21">
        <v>1246.49</v>
      </c>
    </row>
    <row r="153" spans="1:8" ht="24" customHeight="1">
      <c r="A153" s="205"/>
      <c r="B153" s="189"/>
      <c r="C153" s="17" t="s">
        <v>27</v>
      </c>
      <c r="D153" s="160"/>
      <c r="E153" s="160"/>
      <c r="F153" s="35"/>
      <c r="G153" s="35"/>
      <c r="H153" s="22" t="s">
        <v>32</v>
      </c>
    </row>
    <row r="154" spans="1:8" ht="15">
      <c r="A154" s="205"/>
      <c r="B154" s="189"/>
      <c r="C154" s="17" t="s">
        <v>3</v>
      </c>
      <c r="D154" s="160"/>
      <c r="E154" s="160"/>
      <c r="F154" s="20">
        <v>1329553.76</v>
      </c>
      <c r="G154" s="20">
        <v>265</v>
      </c>
      <c r="H154" s="21">
        <v>2254.02</v>
      </c>
    </row>
    <row r="155" spans="1:8" ht="15">
      <c r="A155" s="205"/>
      <c r="B155" s="189"/>
      <c r="C155" s="17" t="s">
        <v>4</v>
      </c>
      <c r="D155" s="160"/>
      <c r="E155" s="160"/>
      <c r="F155" s="20">
        <v>1415939.53</v>
      </c>
      <c r="G155" s="20">
        <v>336.25</v>
      </c>
      <c r="H155" s="21">
        <v>2506.74</v>
      </c>
    </row>
    <row r="156" spans="1:8" ht="15">
      <c r="A156" s="205"/>
      <c r="B156" s="189"/>
      <c r="C156" s="25" t="s">
        <v>5</v>
      </c>
      <c r="D156" s="160"/>
      <c r="E156" s="160"/>
      <c r="F156" s="20">
        <v>1924375.97</v>
      </c>
      <c r="G156" s="20">
        <v>779.31</v>
      </c>
      <c r="H156" s="21">
        <v>3692.59</v>
      </c>
    </row>
    <row r="157" spans="1:8" ht="14.25" customHeight="1">
      <c r="A157" s="162" t="s">
        <v>232</v>
      </c>
      <c r="B157" s="163"/>
      <c r="C157" s="163"/>
      <c r="D157" s="163"/>
      <c r="E157" s="163"/>
      <c r="F157" s="163"/>
      <c r="G157" s="163"/>
      <c r="H157" s="164"/>
    </row>
    <row r="158" spans="1:8" ht="14.25" customHeight="1">
      <c r="A158" s="162" t="s">
        <v>434</v>
      </c>
      <c r="B158" s="163"/>
      <c r="C158" s="163"/>
      <c r="D158" s="163"/>
      <c r="E158" s="163"/>
      <c r="F158" s="163"/>
      <c r="G158" s="163"/>
      <c r="H158" s="164"/>
    </row>
    <row r="159" spans="1:8" ht="14.25" customHeight="1">
      <c r="A159" s="175">
        <v>2</v>
      </c>
      <c r="B159" s="153" t="str">
        <f>B152</f>
        <v>№ 56/4 от 20.12.2013</v>
      </c>
      <c r="C159" s="52" t="s">
        <v>2</v>
      </c>
      <c r="D159" s="154" t="str">
        <f>D152</f>
        <v> 27.12.2013</v>
      </c>
      <c r="E159" s="154" t="str">
        <f>E152</f>
        <v>Липецкая газета,         № 249</v>
      </c>
      <c r="F159" s="154" t="s">
        <v>32</v>
      </c>
      <c r="G159" s="154" t="s">
        <v>32</v>
      </c>
      <c r="H159" s="152">
        <v>893.82</v>
      </c>
    </row>
    <row r="160" spans="1:8" ht="14.25" customHeight="1">
      <c r="A160" s="175"/>
      <c r="B160" s="154"/>
      <c r="C160" s="52" t="s">
        <v>3</v>
      </c>
      <c r="D160" s="154"/>
      <c r="E160" s="154"/>
      <c r="F160" s="154"/>
      <c r="G160" s="154"/>
      <c r="H160" s="152"/>
    </row>
    <row r="161" spans="1:8" ht="14.25" customHeight="1">
      <c r="A161" s="175"/>
      <c r="B161" s="154"/>
      <c r="C161" s="52" t="s">
        <v>4</v>
      </c>
      <c r="D161" s="154"/>
      <c r="E161" s="154"/>
      <c r="F161" s="154"/>
      <c r="G161" s="154"/>
      <c r="H161" s="152"/>
    </row>
    <row r="162" spans="1:8" ht="14.25" customHeight="1">
      <c r="A162" s="175"/>
      <c r="B162" s="154"/>
      <c r="C162" s="54" t="s">
        <v>5</v>
      </c>
      <c r="D162" s="154"/>
      <c r="E162" s="154"/>
      <c r="F162" s="154"/>
      <c r="G162" s="154"/>
      <c r="H162" s="152"/>
    </row>
    <row r="163" spans="1:8" ht="27.75" customHeight="1">
      <c r="A163" s="264" t="s">
        <v>437</v>
      </c>
      <c r="B163" s="265"/>
      <c r="C163" s="265"/>
      <c r="D163" s="265"/>
      <c r="E163" s="265"/>
      <c r="F163" s="265"/>
      <c r="G163" s="265"/>
      <c r="H163" s="266"/>
    </row>
    <row r="164" spans="1:8" ht="14.25" customHeight="1">
      <c r="A164" s="175">
        <v>3</v>
      </c>
      <c r="B164" s="154"/>
      <c r="C164" s="52" t="s">
        <v>2</v>
      </c>
      <c r="D164" s="154" t="str">
        <f>D159</f>
        <v> 27.12.2013</v>
      </c>
      <c r="E164" s="154" t="str">
        <f>E159</f>
        <v>Липецкая газета,         № 249</v>
      </c>
      <c r="F164" s="154" t="s">
        <v>32</v>
      </c>
      <c r="G164" s="154" t="s">
        <v>32</v>
      </c>
      <c r="H164" s="152">
        <v>146.82</v>
      </c>
    </row>
    <row r="165" spans="1:8" ht="14.25" customHeight="1">
      <c r="A165" s="175"/>
      <c r="B165" s="154"/>
      <c r="C165" s="52" t="s">
        <v>3</v>
      </c>
      <c r="D165" s="154"/>
      <c r="E165" s="154"/>
      <c r="F165" s="154"/>
      <c r="G165" s="154"/>
      <c r="H165" s="152"/>
    </row>
    <row r="166" spans="1:8" ht="14.25" customHeight="1">
      <c r="A166" s="175"/>
      <c r="B166" s="154"/>
      <c r="C166" s="52" t="s">
        <v>4</v>
      </c>
      <c r="D166" s="154"/>
      <c r="E166" s="154"/>
      <c r="F166" s="154"/>
      <c r="G166" s="154"/>
      <c r="H166" s="152"/>
    </row>
    <row r="167" spans="1:8" ht="14.25" customHeight="1">
      <c r="A167" s="175"/>
      <c r="B167" s="154"/>
      <c r="C167" s="54" t="s">
        <v>5</v>
      </c>
      <c r="D167" s="154"/>
      <c r="E167" s="154"/>
      <c r="F167" s="154"/>
      <c r="G167" s="154"/>
      <c r="H167" s="152"/>
    </row>
    <row r="168" spans="1:8" ht="14.25" customHeight="1">
      <c r="A168" s="170" t="s">
        <v>26</v>
      </c>
      <c r="B168" s="171"/>
      <c r="C168" s="171"/>
      <c r="D168" s="171"/>
      <c r="E168" s="171"/>
      <c r="F168" s="171"/>
      <c r="G168" s="171"/>
      <c r="H168" s="172"/>
    </row>
    <row r="169" spans="1:8" ht="14.25" customHeight="1">
      <c r="A169" s="162" t="s">
        <v>28</v>
      </c>
      <c r="B169" s="163"/>
      <c r="C169" s="163"/>
      <c r="D169" s="163"/>
      <c r="E169" s="163"/>
      <c r="F169" s="163"/>
      <c r="G169" s="163"/>
      <c r="H169" s="164"/>
    </row>
    <row r="170" spans="1:8" ht="15">
      <c r="A170" s="205">
        <v>1</v>
      </c>
      <c r="B170" s="189" t="s">
        <v>208</v>
      </c>
      <c r="C170" s="17" t="s">
        <v>2</v>
      </c>
      <c r="D170" s="160" t="str">
        <f>D164</f>
        <v> 27.12.2013</v>
      </c>
      <c r="E170" s="160" t="str">
        <f>E164</f>
        <v>Липецкая газета,         № 249</v>
      </c>
      <c r="F170" s="20">
        <v>800046.93</v>
      </c>
      <c r="G170" s="20">
        <v>70.14</v>
      </c>
      <c r="H170" s="21">
        <v>1246.49</v>
      </c>
    </row>
    <row r="171" spans="1:8" ht="25.5" customHeight="1">
      <c r="A171" s="205"/>
      <c r="B171" s="189"/>
      <c r="C171" s="17" t="s">
        <v>27</v>
      </c>
      <c r="D171" s="160"/>
      <c r="E171" s="160"/>
      <c r="F171" s="43"/>
      <c r="G171" s="20"/>
      <c r="H171" s="22" t="s">
        <v>32</v>
      </c>
    </row>
    <row r="172" spans="1:8" ht="15">
      <c r="A172" s="205"/>
      <c r="B172" s="189"/>
      <c r="C172" s="17" t="s">
        <v>3</v>
      </c>
      <c r="D172" s="160"/>
      <c r="E172" s="160"/>
      <c r="F172" s="20">
        <v>1329553.76</v>
      </c>
      <c r="G172" s="20">
        <v>265</v>
      </c>
      <c r="H172" s="21">
        <v>2254.02</v>
      </c>
    </row>
    <row r="173" spans="1:8" ht="15">
      <c r="A173" s="205"/>
      <c r="B173" s="189"/>
      <c r="C173" s="17" t="s">
        <v>4</v>
      </c>
      <c r="D173" s="160"/>
      <c r="E173" s="160"/>
      <c r="F173" s="20">
        <v>1415939.53</v>
      </c>
      <c r="G173" s="20">
        <v>336.25</v>
      </c>
      <c r="H173" s="21">
        <v>2506.74</v>
      </c>
    </row>
    <row r="174" spans="1:8" ht="15">
      <c r="A174" s="205"/>
      <c r="B174" s="189"/>
      <c r="C174" s="25" t="s">
        <v>5</v>
      </c>
      <c r="D174" s="160"/>
      <c r="E174" s="160"/>
      <c r="F174" s="20">
        <v>1924375.97</v>
      </c>
      <c r="G174" s="20">
        <v>779.31</v>
      </c>
      <c r="H174" s="21">
        <v>3692.59</v>
      </c>
    </row>
    <row r="175" spans="1:8" ht="14.25" customHeight="1">
      <c r="A175" s="162" t="s">
        <v>232</v>
      </c>
      <c r="B175" s="163"/>
      <c r="C175" s="163"/>
      <c r="D175" s="163"/>
      <c r="E175" s="163"/>
      <c r="F175" s="163"/>
      <c r="G175" s="163"/>
      <c r="H175" s="164"/>
    </row>
    <row r="176" spans="1:8" ht="14.25" customHeight="1">
      <c r="A176" s="162" t="s">
        <v>434</v>
      </c>
      <c r="B176" s="163"/>
      <c r="C176" s="163"/>
      <c r="D176" s="163"/>
      <c r="E176" s="163"/>
      <c r="F176" s="163"/>
      <c r="G176" s="163"/>
      <c r="H176" s="164"/>
    </row>
    <row r="177" spans="1:8" ht="14.25" customHeight="1">
      <c r="A177" s="155">
        <v>2</v>
      </c>
      <c r="B177" s="153" t="str">
        <f>B170</f>
        <v>№ 56/4 от 20.12.2013</v>
      </c>
      <c r="C177" s="52" t="s">
        <v>2</v>
      </c>
      <c r="D177" s="154" t="str">
        <f>D159</f>
        <v> 27.12.2013</v>
      </c>
      <c r="E177" s="154" t="str">
        <f>E170</f>
        <v>Липецкая газета,         № 249</v>
      </c>
      <c r="F177" s="154" t="s">
        <v>32</v>
      </c>
      <c r="G177" s="154" t="s">
        <v>32</v>
      </c>
      <c r="H177" s="152">
        <v>893.82</v>
      </c>
    </row>
    <row r="178" spans="1:8" ht="14.25" customHeight="1">
      <c r="A178" s="155"/>
      <c r="B178" s="154"/>
      <c r="C178" s="52" t="s">
        <v>3</v>
      </c>
      <c r="D178" s="154"/>
      <c r="E178" s="154"/>
      <c r="F178" s="154"/>
      <c r="G178" s="154"/>
      <c r="H178" s="152"/>
    </row>
    <row r="179" spans="1:8" ht="14.25" customHeight="1">
      <c r="A179" s="155"/>
      <c r="B179" s="154"/>
      <c r="C179" s="52" t="s">
        <v>4</v>
      </c>
      <c r="D179" s="154"/>
      <c r="E179" s="154"/>
      <c r="F179" s="154"/>
      <c r="G179" s="154"/>
      <c r="H179" s="152"/>
    </row>
    <row r="180" spans="1:8" ht="14.25" customHeight="1">
      <c r="A180" s="155"/>
      <c r="B180" s="154"/>
      <c r="C180" s="54" t="s">
        <v>5</v>
      </c>
      <c r="D180" s="154"/>
      <c r="E180" s="154"/>
      <c r="F180" s="154"/>
      <c r="G180" s="154"/>
      <c r="H180" s="152"/>
    </row>
    <row r="181" spans="1:8" ht="30" customHeight="1">
      <c r="A181" s="162" t="s">
        <v>437</v>
      </c>
      <c r="B181" s="163"/>
      <c r="C181" s="163"/>
      <c r="D181" s="163"/>
      <c r="E181" s="163"/>
      <c r="F181" s="163"/>
      <c r="G181" s="163"/>
      <c r="H181" s="164"/>
    </row>
    <row r="182" spans="1:8" ht="14.25" customHeight="1">
      <c r="A182" s="155">
        <v>3</v>
      </c>
      <c r="B182" s="153" t="str">
        <f>B177</f>
        <v>№ 56/4 от 20.12.2013</v>
      </c>
      <c r="C182" s="52" t="s">
        <v>2</v>
      </c>
      <c r="D182" s="154" t="str">
        <f>D177</f>
        <v> 27.12.2013</v>
      </c>
      <c r="E182" s="154" t="str">
        <f>E177</f>
        <v>Липецкая газета,         № 249</v>
      </c>
      <c r="F182" s="154" t="s">
        <v>32</v>
      </c>
      <c r="G182" s="154" t="s">
        <v>32</v>
      </c>
      <c r="H182" s="152">
        <v>146.82</v>
      </c>
    </row>
    <row r="183" spans="1:8" ht="14.25" customHeight="1">
      <c r="A183" s="155"/>
      <c r="B183" s="154"/>
      <c r="C183" s="52" t="s">
        <v>3</v>
      </c>
      <c r="D183" s="154"/>
      <c r="E183" s="154"/>
      <c r="F183" s="154"/>
      <c r="G183" s="154"/>
      <c r="H183" s="152"/>
    </row>
    <row r="184" spans="1:8" ht="14.25" customHeight="1">
      <c r="A184" s="155"/>
      <c r="B184" s="154"/>
      <c r="C184" s="52" t="s">
        <v>4</v>
      </c>
      <c r="D184" s="154"/>
      <c r="E184" s="154"/>
      <c r="F184" s="154"/>
      <c r="G184" s="154"/>
      <c r="H184" s="152"/>
    </row>
    <row r="185" spans="1:8" ht="14.25" customHeight="1" thickBot="1">
      <c r="A185" s="212"/>
      <c r="B185" s="213"/>
      <c r="C185" s="53" t="s">
        <v>5</v>
      </c>
      <c r="D185" s="213"/>
      <c r="E185" s="213"/>
      <c r="F185" s="213"/>
      <c r="G185" s="213"/>
      <c r="H185" s="214"/>
    </row>
    <row r="186" spans="1:8" ht="33" customHeight="1" thickBot="1">
      <c r="A186" s="215" t="s">
        <v>384</v>
      </c>
      <c r="B186" s="216"/>
      <c r="C186" s="216"/>
      <c r="D186" s="216"/>
      <c r="E186" s="216"/>
      <c r="F186" s="216"/>
      <c r="G186" s="216"/>
      <c r="H186" s="217"/>
    </row>
    <row r="187" spans="1:8" ht="14.25" customHeight="1">
      <c r="A187" s="157" t="s">
        <v>25</v>
      </c>
      <c r="B187" s="158"/>
      <c r="C187" s="158"/>
      <c r="D187" s="158"/>
      <c r="E187" s="158"/>
      <c r="F187" s="158"/>
      <c r="G187" s="158"/>
      <c r="H187" s="159"/>
    </row>
    <row r="188" spans="1:8" ht="14.25" customHeight="1">
      <c r="A188" s="162" t="s">
        <v>28</v>
      </c>
      <c r="B188" s="163"/>
      <c r="C188" s="163"/>
      <c r="D188" s="163"/>
      <c r="E188" s="163"/>
      <c r="F188" s="163"/>
      <c r="G188" s="163"/>
      <c r="H188" s="164"/>
    </row>
    <row r="189" spans="1:8" ht="18.75" customHeight="1">
      <c r="A189" s="205">
        <v>1</v>
      </c>
      <c r="B189" s="189" t="s">
        <v>255</v>
      </c>
      <c r="C189" s="44" t="s">
        <v>420</v>
      </c>
      <c r="D189" s="188">
        <v>41634</v>
      </c>
      <c r="E189" s="160" t="s">
        <v>236</v>
      </c>
      <c r="F189" s="20">
        <v>821234.4112</v>
      </c>
      <c r="G189" s="20">
        <v>132.44</v>
      </c>
      <c r="H189" s="21">
        <v>1577.8636</v>
      </c>
    </row>
    <row r="190" spans="1:8" ht="15">
      <c r="A190" s="205"/>
      <c r="B190" s="189"/>
      <c r="C190" s="44" t="s">
        <v>421</v>
      </c>
      <c r="D190" s="188"/>
      <c r="E190" s="160"/>
      <c r="F190" s="20">
        <v>825903.8502</v>
      </c>
      <c r="G190" s="20">
        <v>268.4403</v>
      </c>
      <c r="H190" s="21">
        <v>1863.4616</v>
      </c>
    </row>
    <row r="191" spans="1:8" ht="15">
      <c r="A191" s="205"/>
      <c r="B191" s="189"/>
      <c r="C191" s="44" t="s">
        <v>422</v>
      </c>
      <c r="D191" s="188"/>
      <c r="E191" s="160"/>
      <c r="F191" s="20">
        <v>997854.049</v>
      </c>
      <c r="G191" s="20">
        <v>409.7169</v>
      </c>
      <c r="H191" s="21">
        <v>2505.6165</v>
      </c>
    </row>
    <row r="192" spans="1:15" ht="15">
      <c r="A192" s="205"/>
      <c r="B192" s="189"/>
      <c r="C192" s="44" t="s">
        <v>423</v>
      </c>
      <c r="D192" s="188"/>
      <c r="E192" s="160"/>
      <c r="F192" s="20">
        <v>1149247.5587</v>
      </c>
      <c r="G192" s="20">
        <v>474.0964</v>
      </c>
      <c r="H192" s="21">
        <v>3056.7952</v>
      </c>
      <c r="O192" s="6"/>
    </row>
    <row r="193" spans="1:8" ht="15" customHeight="1">
      <c r="A193" s="162" t="s">
        <v>432</v>
      </c>
      <c r="B193" s="163"/>
      <c r="C193" s="163"/>
      <c r="D193" s="163"/>
      <c r="E193" s="163"/>
      <c r="F193" s="163"/>
      <c r="G193" s="163"/>
      <c r="H193" s="164"/>
    </row>
    <row r="194" spans="1:8" ht="30">
      <c r="A194" s="205">
        <v>2</v>
      </c>
      <c r="B194" s="189" t="str">
        <f>B189</f>
        <v>№ 2239-т  от 19.12.13</v>
      </c>
      <c r="C194" s="44" t="s">
        <v>256</v>
      </c>
      <c r="D194" s="188">
        <f>D189</f>
        <v>41634</v>
      </c>
      <c r="E194" s="160" t="str">
        <f>E189</f>
        <v>Портал Орловской области</v>
      </c>
      <c r="F194" s="20" t="s">
        <v>32</v>
      </c>
      <c r="G194" s="20" t="s">
        <v>32</v>
      </c>
      <c r="H194" s="21">
        <v>1219.6261</v>
      </c>
    </row>
    <row r="195" spans="1:8" ht="30">
      <c r="A195" s="205"/>
      <c r="B195" s="189"/>
      <c r="C195" s="44" t="s">
        <v>257</v>
      </c>
      <c r="D195" s="188"/>
      <c r="E195" s="160"/>
      <c r="F195" s="20" t="s">
        <v>32</v>
      </c>
      <c r="G195" s="20" t="s">
        <v>32</v>
      </c>
      <c r="H195" s="21">
        <v>1833.1854</v>
      </c>
    </row>
    <row r="196" spans="1:8" ht="30">
      <c r="A196" s="205"/>
      <c r="B196" s="189"/>
      <c r="C196" s="44" t="s">
        <v>258</v>
      </c>
      <c r="D196" s="188"/>
      <c r="E196" s="160"/>
      <c r="F196" s="20" t="s">
        <v>32</v>
      </c>
      <c r="G196" s="20" t="s">
        <v>32</v>
      </c>
      <c r="H196" s="21">
        <v>465.3888</v>
      </c>
    </row>
    <row r="197" spans="1:8" ht="30">
      <c r="A197" s="205"/>
      <c r="B197" s="189"/>
      <c r="C197" s="44" t="s">
        <v>259</v>
      </c>
      <c r="D197" s="188"/>
      <c r="E197" s="160"/>
      <c r="F197" s="20" t="s">
        <v>32</v>
      </c>
      <c r="G197" s="20" t="s">
        <v>32</v>
      </c>
      <c r="H197" s="21">
        <v>896.7447</v>
      </c>
    </row>
    <row r="198" spans="1:8" ht="14.25" customHeight="1">
      <c r="A198" s="170" t="s">
        <v>26</v>
      </c>
      <c r="B198" s="171"/>
      <c r="C198" s="171"/>
      <c r="D198" s="171"/>
      <c r="E198" s="171"/>
      <c r="F198" s="171"/>
      <c r="G198" s="171"/>
      <c r="H198" s="172"/>
    </row>
    <row r="199" spans="1:8" ht="14.25">
      <c r="A199" s="162" t="str">
        <f>A188</f>
        <v>1. Прочие потребители</v>
      </c>
      <c r="B199" s="163"/>
      <c r="C199" s="163"/>
      <c r="D199" s="163"/>
      <c r="E199" s="163"/>
      <c r="F199" s="163"/>
      <c r="G199" s="163"/>
      <c r="H199" s="164"/>
    </row>
    <row r="200" spans="1:8" ht="15">
      <c r="A200" s="205">
        <v>1</v>
      </c>
      <c r="B200" s="189" t="s">
        <v>255</v>
      </c>
      <c r="C200" s="44" t="s">
        <v>420</v>
      </c>
      <c r="D200" s="188">
        <v>41634</v>
      </c>
      <c r="E200" s="160" t="s">
        <v>236</v>
      </c>
      <c r="F200" s="20">
        <v>821234.4112</v>
      </c>
      <c r="G200" s="20">
        <v>132.44</v>
      </c>
      <c r="H200" s="21">
        <v>1577.8636</v>
      </c>
    </row>
    <row r="201" spans="1:8" ht="15">
      <c r="A201" s="205"/>
      <c r="B201" s="189"/>
      <c r="C201" s="44" t="s">
        <v>421</v>
      </c>
      <c r="D201" s="188"/>
      <c r="E201" s="160"/>
      <c r="F201" s="20">
        <v>825903.8502</v>
      </c>
      <c r="G201" s="20">
        <v>268.4403</v>
      </c>
      <c r="H201" s="21">
        <v>1863.4616</v>
      </c>
    </row>
    <row r="202" spans="1:8" ht="15">
      <c r="A202" s="205"/>
      <c r="B202" s="189"/>
      <c r="C202" s="44" t="s">
        <v>422</v>
      </c>
      <c r="D202" s="188"/>
      <c r="E202" s="160"/>
      <c r="F202" s="20">
        <v>997854.049</v>
      </c>
      <c r="G202" s="20">
        <v>409.7169</v>
      </c>
      <c r="H202" s="21">
        <v>2505.6165</v>
      </c>
    </row>
    <row r="203" spans="1:8" ht="15">
      <c r="A203" s="205"/>
      <c r="B203" s="189"/>
      <c r="C203" s="44" t="s">
        <v>423</v>
      </c>
      <c r="D203" s="188"/>
      <c r="E203" s="160"/>
      <c r="F203" s="20">
        <v>1149247.5587</v>
      </c>
      <c r="G203" s="20">
        <v>474.0964</v>
      </c>
      <c r="H203" s="21">
        <v>3056.7952</v>
      </c>
    </row>
    <row r="204" spans="1:8" ht="15" customHeight="1">
      <c r="A204" s="162" t="str">
        <f>A193</f>
        <v>2.  Население и приравненные к нему категории потребителей</v>
      </c>
      <c r="B204" s="163"/>
      <c r="C204" s="163"/>
      <c r="D204" s="163"/>
      <c r="E204" s="163"/>
      <c r="F204" s="163"/>
      <c r="G204" s="163"/>
      <c r="H204" s="164"/>
    </row>
    <row r="205" spans="1:8" ht="30">
      <c r="A205" s="205">
        <v>2</v>
      </c>
      <c r="B205" s="189" t="str">
        <f>B200</f>
        <v>№ 2239-т  от 19.12.13</v>
      </c>
      <c r="C205" s="44" t="s">
        <v>256</v>
      </c>
      <c r="D205" s="188">
        <f>D200</f>
        <v>41634</v>
      </c>
      <c r="E205" s="160" t="str">
        <f>E200</f>
        <v>Портал Орловской области</v>
      </c>
      <c r="F205" s="20" t="s">
        <v>32</v>
      </c>
      <c r="G205" s="20" t="s">
        <v>32</v>
      </c>
      <c r="H205" s="21">
        <v>1330.3554</v>
      </c>
    </row>
    <row r="206" spans="1:8" ht="30">
      <c r="A206" s="205"/>
      <c r="B206" s="189"/>
      <c r="C206" s="44" t="s">
        <v>257</v>
      </c>
      <c r="D206" s="188"/>
      <c r="E206" s="160"/>
      <c r="F206" s="20" t="s">
        <v>32</v>
      </c>
      <c r="G206" s="20" t="s">
        <v>32</v>
      </c>
      <c r="H206" s="21">
        <v>1991.369</v>
      </c>
    </row>
    <row r="207" spans="1:8" ht="30">
      <c r="A207" s="205"/>
      <c r="B207" s="189"/>
      <c r="C207" s="44" t="s">
        <v>258</v>
      </c>
      <c r="D207" s="188"/>
      <c r="E207" s="160"/>
      <c r="F207" s="20" t="s">
        <v>32</v>
      </c>
      <c r="G207" s="20" t="s">
        <v>32</v>
      </c>
      <c r="H207" s="21">
        <v>547.3046</v>
      </c>
    </row>
    <row r="208" spans="1:8" ht="30.75" thickBot="1">
      <c r="A208" s="234"/>
      <c r="B208" s="231"/>
      <c r="C208" s="45" t="s">
        <v>259</v>
      </c>
      <c r="D208" s="262"/>
      <c r="E208" s="178"/>
      <c r="F208" s="46" t="s">
        <v>32</v>
      </c>
      <c r="G208" s="46" t="s">
        <v>32</v>
      </c>
      <c r="H208" s="47">
        <v>1010.0096</v>
      </c>
    </row>
    <row r="209" spans="1:8" ht="29.25" customHeight="1" thickBot="1">
      <c r="A209" s="184" t="s">
        <v>262</v>
      </c>
      <c r="B209" s="185"/>
      <c r="C209" s="185"/>
      <c r="D209" s="185"/>
      <c r="E209" s="185"/>
      <c r="F209" s="185"/>
      <c r="G209" s="185"/>
      <c r="H209" s="186"/>
    </row>
    <row r="210" spans="1:8" ht="14.25" customHeight="1">
      <c r="A210" s="218" t="s">
        <v>25</v>
      </c>
      <c r="B210" s="219"/>
      <c r="C210" s="219"/>
      <c r="D210" s="219"/>
      <c r="E210" s="219"/>
      <c r="F210" s="219"/>
      <c r="G210" s="219"/>
      <c r="H210" s="220"/>
    </row>
    <row r="211" spans="1:8" ht="14.25" customHeight="1">
      <c r="A211" s="162" t="s">
        <v>28</v>
      </c>
      <c r="B211" s="163"/>
      <c r="C211" s="163"/>
      <c r="D211" s="163"/>
      <c r="E211" s="163"/>
      <c r="F211" s="163"/>
      <c r="G211" s="163"/>
      <c r="H211" s="164"/>
    </row>
    <row r="212" spans="1:8" ht="15" customHeight="1">
      <c r="A212" s="194">
        <v>1</v>
      </c>
      <c r="B212" s="195" t="s">
        <v>263</v>
      </c>
      <c r="C212" s="14" t="s">
        <v>2</v>
      </c>
      <c r="D212" s="196" t="s">
        <v>425</v>
      </c>
      <c r="E212" s="196" t="s">
        <v>264</v>
      </c>
      <c r="F212" s="15">
        <f>727.20394*1000</f>
        <v>727203.94</v>
      </c>
      <c r="G212" s="15">
        <f>0.15272*1000</f>
        <v>152.72</v>
      </c>
      <c r="H212" s="16">
        <f>1.4666*1000</f>
        <v>1466.6</v>
      </c>
    </row>
    <row r="213" spans="1:8" ht="15">
      <c r="A213" s="194"/>
      <c r="B213" s="195"/>
      <c r="C213" s="14" t="s">
        <v>3</v>
      </c>
      <c r="D213" s="196"/>
      <c r="E213" s="196"/>
      <c r="F213" s="15">
        <f>1373.04897*1000</f>
        <v>1373048.97</v>
      </c>
      <c r="G213" s="15">
        <f>0.34175*1000</f>
        <v>341.75</v>
      </c>
      <c r="H213" s="16">
        <f>2.73667*1000</f>
        <v>2736.67</v>
      </c>
    </row>
    <row r="214" spans="1:8" ht="15">
      <c r="A214" s="194"/>
      <c r="B214" s="195"/>
      <c r="C214" s="14" t="s">
        <v>4</v>
      </c>
      <c r="D214" s="196"/>
      <c r="E214" s="196"/>
      <c r="F214" s="15">
        <f>1322.01866*1000</f>
        <v>1322018.66</v>
      </c>
      <c r="G214" s="15">
        <f>0.36143*1000</f>
        <v>361.42999999999995</v>
      </c>
      <c r="H214" s="16">
        <f>2.77923*1000</f>
        <v>2779.23</v>
      </c>
    </row>
    <row r="215" spans="1:8" ht="15">
      <c r="A215" s="194"/>
      <c r="B215" s="195"/>
      <c r="C215" s="7" t="s">
        <v>5</v>
      </c>
      <c r="D215" s="196"/>
      <c r="E215" s="196"/>
      <c r="F215" s="15">
        <f>1211.99597*1000</f>
        <v>1211995.97</v>
      </c>
      <c r="G215" s="15">
        <f>0.82134*1000</f>
        <v>821.3399999999999</v>
      </c>
      <c r="H215" s="16">
        <f>3.44719*1000</f>
        <v>3447.19</v>
      </c>
    </row>
    <row r="216" spans="1:8" ht="15.75" customHeight="1">
      <c r="A216" s="162" t="s">
        <v>433</v>
      </c>
      <c r="B216" s="163"/>
      <c r="C216" s="163"/>
      <c r="D216" s="163"/>
      <c r="E216" s="163"/>
      <c r="F216" s="163"/>
      <c r="G216" s="163"/>
      <c r="H216" s="164"/>
    </row>
    <row r="217" spans="1:8" ht="15">
      <c r="A217" s="194">
        <v>2</v>
      </c>
      <c r="B217" s="195" t="str">
        <f>B212</f>
        <v>№ 745  от 20.12.2013г.</v>
      </c>
      <c r="C217" s="14" t="s">
        <v>2</v>
      </c>
      <c r="D217" s="196" t="s">
        <v>425</v>
      </c>
      <c r="E217" s="196" t="str">
        <f>E212</f>
        <v>"Вестник Смоленской областной Думы и Администрации Смоленской области" номер № 12 </v>
      </c>
      <c r="F217" s="200" t="s">
        <v>32</v>
      </c>
      <c r="G217" s="200" t="s">
        <v>32</v>
      </c>
      <c r="H217" s="263">
        <v>631.16</v>
      </c>
    </row>
    <row r="218" spans="1:8" ht="15">
      <c r="A218" s="194"/>
      <c r="B218" s="195"/>
      <c r="C218" s="14" t="s">
        <v>3</v>
      </c>
      <c r="D218" s="196"/>
      <c r="E218" s="196"/>
      <c r="F218" s="200"/>
      <c r="G218" s="200"/>
      <c r="H218" s="263"/>
    </row>
    <row r="219" spans="1:8" ht="15">
      <c r="A219" s="194"/>
      <c r="B219" s="195"/>
      <c r="C219" s="14" t="s">
        <v>4</v>
      </c>
      <c r="D219" s="196"/>
      <c r="E219" s="196"/>
      <c r="F219" s="200"/>
      <c r="G219" s="200"/>
      <c r="H219" s="263"/>
    </row>
    <row r="220" spans="1:8" ht="15">
      <c r="A220" s="194"/>
      <c r="B220" s="195"/>
      <c r="C220" s="7" t="s">
        <v>5</v>
      </c>
      <c r="D220" s="196"/>
      <c r="E220" s="196"/>
      <c r="F220" s="200"/>
      <c r="G220" s="200"/>
      <c r="H220" s="263"/>
    </row>
    <row r="221" spans="1:8" ht="14.25" customHeight="1">
      <c r="A221" s="170" t="s">
        <v>26</v>
      </c>
      <c r="B221" s="171"/>
      <c r="C221" s="171"/>
      <c r="D221" s="171"/>
      <c r="E221" s="171"/>
      <c r="F221" s="171"/>
      <c r="G221" s="171"/>
      <c r="H221" s="172"/>
    </row>
    <row r="222" spans="1:8" ht="14.25" customHeight="1">
      <c r="A222" s="162" t="s">
        <v>28</v>
      </c>
      <c r="B222" s="163"/>
      <c r="C222" s="163"/>
      <c r="D222" s="163"/>
      <c r="E222" s="163"/>
      <c r="F222" s="163"/>
      <c r="G222" s="163"/>
      <c r="H222" s="164"/>
    </row>
    <row r="223" spans="1:8" ht="15" customHeight="1">
      <c r="A223" s="194">
        <v>1</v>
      </c>
      <c r="B223" s="195" t="s">
        <v>263</v>
      </c>
      <c r="C223" s="14" t="s">
        <v>2</v>
      </c>
      <c r="D223" s="196" t="s">
        <v>425</v>
      </c>
      <c r="E223" s="196" t="s">
        <v>264</v>
      </c>
      <c r="F223" s="15">
        <f>727.20394*1000</f>
        <v>727203.94</v>
      </c>
      <c r="G223" s="15">
        <f>0.15272*1000</f>
        <v>152.72</v>
      </c>
      <c r="H223" s="16">
        <f>1.4666*1000</f>
        <v>1466.6</v>
      </c>
    </row>
    <row r="224" spans="1:8" ht="15">
      <c r="A224" s="194"/>
      <c r="B224" s="195"/>
      <c r="C224" s="14" t="s">
        <v>3</v>
      </c>
      <c r="D224" s="196"/>
      <c r="E224" s="196"/>
      <c r="F224" s="15">
        <f>1373.04897*1000</f>
        <v>1373048.97</v>
      </c>
      <c r="G224" s="15">
        <f>0.34175*1000</f>
        <v>341.75</v>
      </c>
      <c r="H224" s="16">
        <f>2.73667*1000</f>
        <v>2736.67</v>
      </c>
    </row>
    <row r="225" spans="1:8" ht="15">
      <c r="A225" s="194"/>
      <c r="B225" s="195"/>
      <c r="C225" s="14" t="s">
        <v>4</v>
      </c>
      <c r="D225" s="196"/>
      <c r="E225" s="196"/>
      <c r="F225" s="15">
        <f>1322.01866*1000</f>
        <v>1322018.66</v>
      </c>
      <c r="G225" s="15">
        <f>0.36143*1000</f>
        <v>361.42999999999995</v>
      </c>
      <c r="H225" s="16">
        <f>2.77923*1000</f>
        <v>2779.23</v>
      </c>
    </row>
    <row r="226" spans="1:8" ht="15">
      <c r="A226" s="194"/>
      <c r="B226" s="195"/>
      <c r="C226" s="7" t="s">
        <v>5</v>
      </c>
      <c r="D226" s="196"/>
      <c r="E226" s="196"/>
      <c r="F226" s="15">
        <f>1211.99597*1000</f>
        <v>1211995.97</v>
      </c>
      <c r="G226" s="15">
        <f>0.82134*1000</f>
        <v>821.3399999999999</v>
      </c>
      <c r="H226" s="16">
        <f>3.44719*1000</f>
        <v>3447.19</v>
      </c>
    </row>
    <row r="227" spans="1:8" ht="15.75" customHeight="1">
      <c r="A227" s="162" t="s">
        <v>29</v>
      </c>
      <c r="B227" s="163"/>
      <c r="C227" s="163"/>
      <c r="D227" s="163"/>
      <c r="E227" s="163"/>
      <c r="F227" s="163"/>
      <c r="G227" s="163"/>
      <c r="H227" s="164"/>
    </row>
    <row r="228" spans="1:8" ht="15">
      <c r="A228" s="194">
        <v>2</v>
      </c>
      <c r="B228" s="195" t="str">
        <f>B223</f>
        <v>№ 745  от 20.12.2013г.</v>
      </c>
      <c r="C228" s="14" t="s">
        <v>2</v>
      </c>
      <c r="D228" s="196" t="str">
        <f>D223</f>
        <v> 20.12.2013г. </v>
      </c>
      <c r="E228" s="196" t="str">
        <f>E223</f>
        <v>"Вестник Смоленской областной Думы и Администрации Смоленской области" номер № 12 </v>
      </c>
      <c r="F228" s="200" t="s">
        <v>32</v>
      </c>
      <c r="G228" s="200" t="s">
        <v>32</v>
      </c>
      <c r="H228" s="168">
        <v>751.83</v>
      </c>
    </row>
    <row r="229" spans="1:8" ht="15">
      <c r="A229" s="194"/>
      <c r="B229" s="195"/>
      <c r="C229" s="14" t="s">
        <v>3</v>
      </c>
      <c r="D229" s="196"/>
      <c r="E229" s="196"/>
      <c r="F229" s="200"/>
      <c r="G229" s="200"/>
      <c r="H229" s="168"/>
    </row>
    <row r="230" spans="1:8" ht="15">
      <c r="A230" s="194"/>
      <c r="B230" s="195"/>
      <c r="C230" s="14" t="s">
        <v>4</v>
      </c>
      <c r="D230" s="196"/>
      <c r="E230" s="196"/>
      <c r="F230" s="200"/>
      <c r="G230" s="200"/>
      <c r="H230" s="168"/>
    </row>
    <row r="231" spans="1:8" ht="15.75" thickBot="1">
      <c r="A231" s="197"/>
      <c r="B231" s="198"/>
      <c r="C231" s="5" t="s">
        <v>5</v>
      </c>
      <c r="D231" s="199"/>
      <c r="E231" s="199"/>
      <c r="F231" s="201"/>
      <c r="G231" s="201"/>
      <c r="H231" s="169"/>
    </row>
    <row r="232" spans="1:8" ht="30" customHeight="1" thickBot="1">
      <c r="A232" s="202" t="s">
        <v>372</v>
      </c>
      <c r="B232" s="203"/>
      <c r="C232" s="203"/>
      <c r="D232" s="203"/>
      <c r="E232" s="203"/>
      <c r="F232" s="203"/>
      <c r="G232" s="203"/>
      <c r="H232" s="204"/>
    </row>
    <row r="233" spans="1:8" ht="14.25" customHeight="1">
      <c r="A233" s="157" t="s">
        <v>25</v>
      </c>
      <c r="B233" s="158"/>
      <c r="C233" s="158"/>
      <c r="D233" s="158"/>
      <c r="E233" s="158"/>
      <c r="F233" s="158"/>
      <c r="G233" s="158"/>
      <c r="H233" s="159"/>
    </row>
    <row r="234" spans="1:8" ht="15" customHeight="1">
      <c r="A234" s="162" t="str">
        <f>A199</f>
        <v>1. Прочие потребители</v>
      </c>
      <c r="B234" s="163"/>
      <c r="C234" s="163"/>
      <c r="D234" s="163"/>
      <c r="E234" s="163"/>
      <c r="F234" s="163"/>
      <c r="G234" s="163"/>
      <c r="H234" s="164"/>
    </row>
    <row r="235" spans="1:8" ht="24.75" customHeight="1">
      <c r="A235" s="191">
        <v>1</v>
      </c>
      <c r="B235" s="189" t="s">
        <v>279</v>
      </c>
      <c r="C235" s="17" t="s">
        <v>419</v>
      </c>
      <c r="D235" s="188" t="s">
        <v>280</v>
      </c>
      <c r="E235" s="160" t="s">
        <v>281</v>
      </c>
      <c r="F235" s="35"/>
      <c r="G235" s="35"/>
      <c r="H235" s="22" t="s">
        <v>32</v>
      </c>
    </row>
    <row r="236" spans="1:8" ht="15">
      <c r="A236" s="191"/>
      <c r="B236" s="189"/>
      <c r="C236" s="17" t="s">
        <v>2</v>
      </c>
      <c r="D236" s="188"/>
      <c r="E236" s="160"/>
      <c r="F236" s="20">
        <f>1187.85869*1000</f>
        <v>1187858.69</v>
      </c>
      <c r="G236" s="20">
        <f>0.05209*1000</f>
        <v>52.089999999999996</v>
      </c>
      <c r="H236" s="21">
        <f>1.98155*1000</f>
        <v>1981.55</v>
      </c>
    </row>
    <row r="237" spans="1:8" ht="15">
      <c r="A237" s="191"/>
      <c r="B237" s="189"/>
      <c r="C237" s="17" t="s">
        <v>3</v>
      </c>
      <c r="D237" s="188"/>
      <c r="E237" s="160"/>
      <c r="F237" s="20">
        <f>1201.55859*1000</f>
        <v>1201558.59</v>
      </c>
      <c r="G237" s="20">
        <f>0.14528*1000</f>
        <v>145.28</v>
      </c>
      <c r="H237" s="21">
        <f>2.09716*1000</f>
        <v>2097.1600000000003</v>
      </c>
    </row>
    <row r="238" spans="1:8" ht="15">
      <c r="A238" s="191"/>
      <c r="B238" s="189"/>
      <c r="C238" s="17" t="s">
        <v>4</v>
      </c>
      <c r="D238" s="188"/>
      <c r="E238" s="160"/>
      <c r="F238" s="20">
        <f>1230.07886*1000</f>
        <v>1230078.86</v>
      </c>
      <c r="G238" s="20">
        <f>0.20525*1000</f>
        <v>205.25</v>
      </c>
      <c r="H238" s="21">
        <f>2.20354*1000</f>
        <v>2203.54</v>
      </c>
    </row>
    <row r="239" spans="1:8" ht="15">
      <c r="A239" s="191"/>
      <c r="B239" s="189"/>
      <c r="C239" s="25" t="s">
        <v>5</v>
      </c>
      <c r="D239" s="188"/>
      <c r="E239" s="160"/>
      <c r="F239" s="20">
        <f>1251.27457*1000</f>
        <v>1251274.57</v>
      </c>
      <c r="G239" s="20">
        <f>0.59994*1000</f>
        <v>599.94</v>
      </c>
      <c r="H239" s="21">
        <f>2.63249*1000</f>
        <v>2632.4900000000002</v>
      </c>
    </row>
    <row r="240" spans="1:8" ht="14.25" customHeight="1">
      <c r="A240" s="162" t="s">
        <v>29</v>
      </c>
      <c r="B240" s="163"/>
      <c r="C240" s="163"/>
      <c r="D240" s="163"/>
      <c r="E240" s="163"/>
      <c r="F240" s="163"/>
      <c r="G240" s="163"/>
      <c r="H240" s="164"/>
    </row>
    <row r="241" spans="1:8" ht="14.25" customHeight="1">
      <c r="A241" s="162" t="s">
        <v>368</v>
      </c>
      <c r="B241" s="163"/>
      <c r="C241" s="163"/>
      <c r="D241" s="163"/>
      <c r="E241" s="163"/>
      <c r="F241" s="163"/>
      <c r="G241" s="163"/>
      <c r="H241" s="164"/>
    </row>
    <row r="242" spans="1:8" ht="15" customHeight="1">
      <c r="A242" s="173" t="s">
        <v>426</v>
      </c>
      <c r="B242" s="189" t="s">
        <v>279</v>
      </c>
      <c r="C242" s="17" t="s">
        <v>2</v>
      </c>
      <c r="D242" s="188" t="str">
        <f>D235</f>
        <v>24.12.2013;               31.12.2013</v>
      </c>
      <c r="E242" s="160" t="str">
        <f>E235</f>
        <v>газета "Тамбовская жизнь" (спецвыпуск №105 (1445);                  №107 (1447)</v>
      </c>
      <c r="F242" s="160" t="s">
        <v>32</v>
      </c>
      <c r="G242" s="160" t="s">
        <v>32</v>
      </c>
      <c r="H242" s="161">
        <f>1.05471*1000</f>
        <v>1054.71</v>
      </c>
    </row>
    <row r="243" spans="1:8" ht="15">
      <c r="A243" s="173"/>
      <c r="B243" s="189"/>
      <c r="C243" s="17" t="s">
        <v>3</v>
      </c>
      <c r="D243" s="188"/>
      <c r="E243" s="160"/>
      <c r="F243" s="160"/>
      <c r="G243" s="160"/>
      <c r="H243" s="161"/>
    </row>
    <row r="244" spans="1:8" ht="15">
      <c r="A244" s="173"/>
      <c r="B244" s="189"/>
      <c r="C244" s="17" t="s">
        <v>4</v>
      </c>
      <c r="D244" s="188"/>
      <c r="E244" s="160"/>
      <c r="F244" s="160"/>
      <c r="G244" s="160"/>
      <c r="H244" s="161"/>
    </row>
    <row r="245" spans="1:8" ht="15">
      <c r="A245" s="173"/>
      <c r="B245" s="189"/>
      <c r="C245" s="25" t="s">
        <v>5</v>
      </c>
      <c r="D245" s="188"/>
      <c r="E245" s="160"/>
      <c r="F245" s="160"/>
      <c r="G245" s="160"/>
      <c r="H245" s="161"/>
    </row>
    <row r="246" spans="1:8" ht="29.25" customHeight="1">
      <c r="A246" s="162" t="s">
        <v>369</v>
      </c>
      <c r="B246" s="163"/>
      <c r="C246" s="163"/>
      <c r="D246" s="163"/>
      <c r="E246" s="163"/>
      <c r="F246" s="163"/>
      <c r="G246" s="163"/>
      <c r="H246" s="164"/>
    </row>
    <row r="247" spans="1:8" ht="15" customHeight="1">
      <c r="A247" s="173" t="s">
        <v>427</v>
      </c>
      <c r="B247" s="189" t="s">
        <v>279</v>
      </c>
      <c r="C247" s="17" t="s">
        <v>2</v>
      </c>
      <c r="D247" s="188" t="str">
        <f>D242</f>
        <v>24.12.2013;               31.12.2013</v>
      </c>
      <c r="E247" s="160" t="str">
        <f>E242</f>
        <v>газета "Тамбовская жизнь" (спецвыпуск №105 (1445);                  №107 (1447)</v>
      </c>
      <c r="F247" s="160" t="s">
        <v>32</v>
      </c>
      <c r="G247" s="160" t="s">
        <v>32</v>
      </c>
      <c r="H247" s="161">
        <f>0.45281*1000</f>
        <v>452.81</v>
      </c>
    </row>
    <row r="248" spans="1:8" ht="12.75" customHeight="1">
      <c r="A248" s="173"/>
      <c r="B248" s="189"/>
      <c r="C248" s="17" t="s">
        <v>3</v>
      </c>
      <c r="D248" s="188"/>
      <c r="E248" s="160"/>
      <c r="F248" s="160"/>
      <c r="G248" s="160"/>
      <c r="H248" s="161"/>
    </row>
    <row r="249" spans="1:8" ht="12.75" customHeight="1">
      <c r="A249" s="173"/>
      <c r="B249" s="189"/>
      <c r="C249" s="17" t="s">
        <v>4</v>
      </c>
      <c r="D249" s="188"/>
      <c r="E249" s="160"/>
      <c r="F249" s="160"/>
      <c r="G249" s="160"/>
      <c r="H249" s="161"/>
    </row>
    <row r="250" spans="1:8" ht="13.5" customHeight="1">
      <c r="A250" s="173"/>
      <c r="B250" s="189"/>
      <c r="C250" s="25" t="s">
        <v>5</v>
      </c>
      <c r="D250" s="188"/>
      <c r="E250" s="160"/>
      <c r="F250" s="160"/>
      <c r="G250" s="160"/>
      <c r="H250" s="161"/>
    </row>
    <row r="251" spans="1:8" ht="15.75" customHeight="1">
      <c r="A251" s="162" t="s">
        <v>370</v>
      </c>
      <c r="B251" s="163"/>
      <c r="C251" s="163"/>
      <c r="D251" s="163"/>
      <c r="E251" s="163"/>
      <c r="F251" s="163"/>
      <c r="G251" s="163"/>
      <c r="H251" s="164"/>
    </row>
    <row r="252" spans="1:8" ht="15" customHeight="1">
      <c r="A252" s="173" t="s">
        <v>428</v>
      </c>
      <c r="B252" s="189" t="s">
        <v>279</v>
      </c>
      <c r="C252" s="17" t="s">
        <v>2</v>
      </c>
      <c r="D252" s="188" t="str">
        <f>D247</f>
        <v>24.12.2013;               31.12.2013</v>
      </c>
      <c r="E252" s="160" t="str">
        <f>E247</f>
        <v>газета "Тамбовская жизнь" (спецвыпуск №105 (1445);                  №107 (1447)</v>
      </c>
      <c r="F252" s="160" t="s">
        <v>32</v>
      </c>
      <c r="G252" s="160" t="s">
        <v>32</v>
      </c>
      <c r="H252" s="161">
        <f>0.26113*1000</f>
        <v>261.13</v>
      </c>
    </row>
    <row r="253" spans="1:8" ht="15">
      <c r="A253" s="173"/>
      <c r="B253" s="189"/>
      <c r="C253" s="17" t="s">
        <v>3</v>
      </c>
      <c r="D253" s="188"/>
      <c r="E253" s="160"/>
      <c r="F253" s="160"/>
      <c r="G253" s="160"/>
      <c r="H253" s="161"/>
    </row>
    <row r="254" spans="1:8" ht="15">
      <c r="A254" s="173"/>
      <c r="B254" s="189"/>
      <c r="C254" s="17" t="s">
        <v>4</v>
      </c>
      <c r="D254" s="188"/>
      <c r="E254" s="160"/>
      <c r="F254" s="160"/>
      <c r="G254" s="160"/>
      <c r="H254" s="161"/>
    </row>
    <row r="255" spans="1:8" ht="15">
      <c r="A255" s="173"/>
      <c r="B255" s="189"/>
      <c r="C255" s="25" t="s">
        <v>5</v>
      </c>
      <c r="D255" s="188"/>
      <c r="E255" s="160"/>
      <c r="F255" s="160"/>
      <c r="G255" s="160"/>
      <c r="H255" s="161"/>
    </row>
    <row r="256" spans="1:8" ht="14.25">
      <c r="A256" s="170" t="s">
        <v>26</v>
      </c>
      <c r="B256" s="171"/>
      <c r="C256" s="171"/>
      <c r="D256" s="171"/>
      <c r="E256" s="171"/>
      <c r="F256" s="171"/>
      <c r="G256" s="171"/>
      <c r="H256" s="172"/>
    </row>
    <row r="257" spans="1:8" ht="14.25">
      <c r="A257" s="162" t="str">
        <f>A222</f>
        <v>1. Прочие потребители</v>
      </c>
      <c r="B257" s="163"/>
      <c r="C257" s="163"/>
      <c r="D257" s="163"/>
      <c r="E257" s="163"/>
      <c r="F257" s="163"/>
      <c r="G257" s="163"/>
      <c r="H257" s="164"/>
    </row>
    <row r="258" spans="1:8" ht="15" customHeight="1">
      <c r="A258" s="191">
        <v>1</v>
      </c>
      <c r="B258" s="189" t="s">
        <v>279</v>
      </c>
      <c r="C258" s="17" t="s">
        <v>27</v>
      </c>
      <c r="D258" s="188" t="s">
        <v>280</v>
      </c>
      <c r="E258" s="160" t="s">
        <v>281</v>
      </c>
      <c r="F258" s="48"/>
      <c r="G258" s="48"/>
      <c r="H258" s="22" t="s">
        <v>32</v>
      </c>
    </row>
    <row r="259" spans="1:8" ht="15">
      <c r="A259" s="191"/>
      <c r="B259" s="189"/>
      <c r="C259" s="17" t="s">
        <v>2</v>
      </c>
      <c r="D259" s="188"/>
      <c r="E259" s="160"/>
      <c r="F259" s="20">
        <f>1187.85869*1000</f>
        <v>1187858.69</v>
      </c>
      <c r="G259" s="20">
        <f>0.05209*1000</f>
        <v>52.089999999999996</v>
      </c>
      <c r="H259" s="21">
        <f>1.98155*1000</f>
        <v>1981.55</v>
      </c>
    </row>
    <row r="260" spans="1:8" ht="13.5" customHeight="1">
      <c r="A260" s="191"/>
      <c r="B260" s="189"/>
      <c r="C260" s="17" t="s">
        <v>3</v>
      </c>
      <c r="D260" s="188"/>
      <c r="E260" s="160"/>
      <c r="F260" s="20">
        <f>1201.55859*1000</f>
        <v>1201558.59</v>
      </c>
      <c r="G260" s="20">
        <f>0.14528*1000</f>
        <v>145.28</v>
      </c>
      <c r="H260" s="21">
        <f>2.09716*1000</f>
        <v>2097.1600000000003</v>
      </c>
    </row>
    <row r="261" spans="1:8" ht="15">
      <c r="A261" s="191"/>
      <c r="B261" s="189"/>
      <c r="C261" s="17" t="s">
        <v>4</v>
      </c>
      <c r="D261" s="188"/>
      <c r="E261" s="160"/>
      <c r="F261" s="20">
        <f>1230.07886*1000</f>
        <v>1230078.86</v>
      </c>
      <c r="G261" s="20">
        <f>0.20525*1000</f>
        <v>205.25</v>
      </c>
      <c r="H261" s="21">
        <f>2.20354*1000</f>
        <v>2203.54</v>
      </c>
    </row>
    <row r="262" spans="1:8" ht="15">
      <c r="A262" s="191"/>
      <c r="B262" s="189"/>
      <c r="C262" s="25" t="s">
        <v>5</v>
      </c>
      <c r="D262" s="188"/>
      <c r="E262" s="160"/>
      <c r="F262" s="20">
        <f>1251.27457*1000</f>
        <v>1251274.57</v>
      </c>
      <c r="G262" s="20">
        <f>0.59994*1000</f>
        <v>599.94</v>
      </c>
      <c r="H262" s="21">
        <f>2.63249*1000</f>
        <v>2632.4900000000002</v>
      </c>
    </row>
    <row r="263" spans="1:8" ht="15.75" customHeight="1">
      <c r="A263" s="162" t="str">
        <f>A240</f>
        <v>2. Население и приравненные к нему категории потребителей</v>
      </c>
      <c r="B263" s="163"/>
      <c r="C263" s="163"/>
      <c r="D263" s="163"/>
      <c r="E263" s="163"/>
      <c r="F263" s="163"/>
      <c r="G263" s="163"/>
      <c r="H263" s="164"/>
    </row>
    <row r="264" spans="1:8" ht="15.75" customHeight="1">
      <c r="A264" s="162" t="str">
        <f>A241</f>
        <v>2.1 Население, за исключением указанного в пунктах 2.2, 2.3 и категории потребителей приравненные к населению</v>
      </c>
      <c r="B264" s="163"/>
      <c r="C264" s="163"/>
      <c r="D264" s="163"/>
      <c r="E264" s="163"/>
      <c r="F264" s="163"/>
      <c r="G264" s="163"/>
      <c r="H264" s="164"/>
    </row>
    <row r="265" spans="1:8" ht="15" customHeight="1">
      <c r="A265" s="173" t="s">
        <v>426</v>
      </c>
      <c r="B265" s="189" t="s">
        <v>279</v>
      </c>
      <c r="C265" s="17" t="s">
        <v>2</v>
      </c>
      <c r="D265" s="188" t="str">
        <f>D258</f>
        <v>24.12.2013;               31.12.2013</v>
      </c>
      <c r="E265" s="160" t="str">
        <f>E258</f>
        <v>газета "Тамбовская жизнь" (спецвыпуск №105 (1445);                  №107 (1447)</v>
      </c>
      <c r="F265" s="160" t="s">
        <v>32</v>
      </c>
      <c r="G265" s="160" t="s">
        <v>32</v>
      </c>
      <c r="H265" s="161">
        <f>1.05471*1000</f>
        <v>1054.71</v>
      </c>
    </row>
    <row r="266" spans="1:8" ht="12.75" customHeight="1">
      <c r="A266" s="173"/>
      <c r="B266" s="189"/>
      <c r="C266" s="17" t="s">
        <v>3</v>
      </c>
      <c r="D266" s="188"/>
      <c r="E266" s="160"/>
      <c r="F266" s="160"/>
      <c r="G266" s="160"/>
      <c r="H266" s="161"/>
    </row>
    <row r="267" spans="1:8" ht="14.25" customHeight="1">
      <c r="A267" s="173"/>
      <c r="B267" s="189"/>
      <c r="C267" s="17" t="s">
        <v>4</v>
      </c>
      <c r="D267" s="188"/>
      <c r="E267" s="160"/>
      <c r="F267" s="160"/>
      <c r="G267" s="160"/>
      <c r="H267" s="161"/>
    </row>
    <row r="268" spans="1:8" ht="13.5" customHeight="1">
      <c r="A268" s="173"/>
      <c r="B268" s="189"/>
      <c r="C268" s="25" t="s">
        <v>5</v>
      </c>
      <c r="D268" s="188"/>
      <c r="E268" s="160"/>
      <c r="F268" s="160"/>
      <c r="G268" s="160"/>
      <c r="H268" s="161"/>
    </row>
    <row r="269" spans="1:8" ht="36.75" customHeight="1">
      <c r="A269" s="162" t="str">
        <f>A246</f>
        <v>2.2 Население, проживающее в городских населенных пунктах в домах, оборудованных в установленном порядке стационарными электроплитами для пищеприготовления и (или) электроотопительными установками</v>
      </c>
      <c r="B269" s="163"/>
      <c r="C269" s="163"/>
      <c r="D269" s="163"/>
      <c r="E269" s="163"/>
      <c r="F269" s="163"/>
      <c r="G269" s="163"/>
      <c r="H269" s="164"/>
    </row>
    <row r="270" spans="1:8" ht="15" customHeight="1">
      <c r="A270" s="173" t="s">
        <v>427</v>
      </c>
      <c r="B270" s="189" t="s">
        <v>279</v>
      </c>
      <c r="C270" s="17" t="s">
        <v>2</v>
      </c>
      <c r="D270" s="160" t="s">
        <v>280</v>
      </c>
      <c r="E270" s="160" t="str">
        <f>E265</f>
        <v>газета "Тамбовская жизнь" (спецвыпуск №105 (1445);                  №107 (1447)</v>
      </c>
      <c r="F270" s="160" t="s">
        <v>32</v>
      </c>
      <c r="G270" s="160" t="s">
        <v>32</v>
      </c>
      <c r="H270" s="161">
        <f>0.45281*1000</f>
        <v>452.81</v>
      </c>
    </row>
    <row r="271" spans="1:8" ht="15">
      <c r="A271" s="173"/>
      <c r="B271" s="160"/>
      <c r="C271" s="17" t="s">
        <v>3</v>
      </c>
      <c r="D271" s="160"/>
      <c r="E271" s="160"/>
      <c r="F271" s="160"/>
      <c r="G271" s="160"/>
      <c r="H271" s="161"/>
    </row>
    <row r="272" spans="1:8" ht="15">
      <c r="A272" s="173"/>
      <c r="B272" s="160"/>
      <c r="C272" s="17" t="s">
        <v>4</v>
      </c>
      <c r="D272" s="160"/>
      <c r="E272" s="160"/>
      <c r="F272" s="160"/>
      <c r="G272" s="160"/>
      <c r="H272" s="161"/>
    </row>
    <row r="273" spans="1:8" ht="15">
      <c r="A273" s="173"/>
      <c r="B273" s="160"/>
      <c r="C273" s="25" t="s">
        <v>5</v>
      </c>
      <c r="D273" s="160"/>
      <c r="E273" s="160"/>
      <c r="F273" s="160"/>
      <c r="G273" s="160"/>
      <c r="H273" s="161"/>
    </row>
    <row r="274" spans="1:8" ht="15.75" customHeight="1">
      <c r="A274" s="162" t="s">
        <v>424</v>
      </c>
      <c r="B274" s="163"/>
      <c r="C274" s="163"/>
      <c r="D274" s="163"/>
      <c r="E274" s="163"/>
      <c r="F274" s="163"/>
      <c r="G274" s="163"/>
      <c r="H274" s="164"/>
    </row>
    <row r="275" spans="1:8" ht="15.75" customHeight="1">
      <c r="A275" s="173" t="s">
        <v>428</v>
      </c>
      <c r="B275" s="189" t="s">
        <v>279</v>
      </c>
      <c r="C275" s="17" t="s">
        <v>2</v>
      </c>
      <c r="D275" s="160" t="str">
        <f>D270</f>
        <v>24.12.2013;               31.12.2013</v>
      </c>
      <c r="E275" s="160" t="str">
        <f>E270</f>
        <v>газета "Тамбовская жизнь" (спецвыпуск №105 (1445);                  №107 (1447)</v>
      </c>
      <c r="F275" s="160" t="s">
        <v>32</v>
      </c>
      <c r="G275" s="160" t="s">
        <v>32</v>
      </c>
      <c r="H275" s="161">
        <f>0.26113*1000</f>
        <v>261.13</v>
      </c>
    </row>
    <row r="276" spans="1:8" ht="15">
      <c r="A276" s="173"/>
      <c r="B276" s="160"/>
      <c r="C276" s="17" t="s">
        <v>3</v>
      </c>
      <c r="D276" s="160"/>
      <c r="E276" s="160"/>
      <c r="F276" s="160"/>
      <c r="G276" s="160"/>
      <c r="H276" s="161"/>
    </row>
    <row r="277" spans="1:8" ht="15">
      <c r="A277" s="173"/>
      <c r="B277" s="160"/>
      <c r="C277" s="17" t="s">
        <v>4</v>
      </c>
      <c r="D277" s="160"/>
      <c r="E277" s="160"/>
      <c r="F277" s="160"/>
      <c r="G277" s="160"/>
      <c r="H277" s="161"/>
    </row>
    <row r="278" spans="1:8" ht="15.75" thickBot="1">
      <c r="A278" s="192"/>
      <c r="B278" s="190"/>
      <c r="C278" s="23" t="s">
        <v>5</v>
      </c>
      <c r="D278" s="190"/>
      <c r="E278" s="190"/>
      <c r="F278" s="190"/>
      <c r="G278" s="190"/>
      <c r="H278" s="193"/>
    </row>
    <row r="279" spans="1:8" ht="27.75" customHeight="1" thickBot="1">
      <c r="A279" s="184" t="s">
        <v>373</v>
      </c>
      <c r="B279" s="185"/>
      <c r="C279" s="185"/>
      <c r="D279" s="185"/>
      <c r="E279" s="185"/>
      <c r="F279" s="185"/>
      <c r="G279" s="185"/>
      <c r="H279" s="186"/>
    </row>
    <row r="280" spans="1:8" ht="14.25" customHeight="1">
      <c r="A280" s="157" t="s">
        <v>25</v>
      </c>
      <c r="B280" s="158"/>
      <c r="C280" s="158"/>
      <c r="D280" s="158"/>
      <c r="E280" s="158"/>
      <c r="F280" s="158"/>
      <c r="G280" s="158"/>
      <c r="H280" s="159"/>
    </row>
    <row r="281" spans="1:8" ht="17.25" customHeight="1">
      <c r="A281" s="162" t="s">
        <v>28</v>
      </c>
      <c r="B281" s="163"/>
      <c r="C281" s="163"/>
      <c r="D281" s="163"/>
      <c r="E281" s="163"/>
      <c r="F281" s="163"/>
      <c r="G281" s="163"/>
      <c r="H281" s="164"/>
    </row>
    <row r="282" spans="1:8" ht="15">
      <c r="A282" s="182">
        <v>1</v>
      </c>
      <c r="B282" s="187" t="s">
        <v>321</v>
      </c>
      <c r="C282" s="42" t="s">
        <v>2</v>
      </c>
      <c r="D282" s="183" t="s">
        <v>283</v>
      </c>
      <c r="E282" s="183" t="s">
        <v>284</v>
      </c>
      <c r="F282" s="49">
        <v>773369.22</v>
      </c>
      <c r="G282" s="49">
        <v>474.82</v>
      </c>
      <c r="H282" s="50">
        <v>1778.22</v>
      </c>
    </row>
    <row r="283" spans="1:8" ht="15">
      <c r="A283" s="182"/>
      <c r="B283" s="187"/>
      <c r="C283" s="42" t="s">
        <v>3</v>
      </c>
      <c r="D283" s="176"/>
      <c r="E283" s="176"/>
      <c r="F283" s="49">
        <v>958751.59</v>
      </c>
      <c r="G283" s="49">
        <v>479.67</v>
      </c>
      <c r="H283" s="50">
        <v>2200.44</v>
      </c>
    </row>
    <row r="284" spans="1:8" ht="13.5" customHeight="1">
      <c r="A284" s="182"/>
      <c r="B284" s="187"/>
      <c r="C284" s="42" t="s">
        <v>4</v>
      </c>
      <c r="D284" s="176"/>
      <c r="E284" s="176"/>
      <c r="F284" s="49">
        <v>1124457.62</v>
      </c>
      <c r="G284" s="49">
        <v>493.23</v>
      </c>
      <c r="H284" s="50">
        <v>2618.45</v>
      </c>
    </row>
    <row r="285" spans="1:8" ht="15">
      <c r="A285" s="182"/>
      <c r="B285" s="187"/>
      <c r="C285" s="51" t="s">
        <v>5</v>
      </c>
      <c r="D285" s="176"/>
      <c r="E285" s="176"/>
      <c r="F285" s="49">
        <v>1475022.19</v>
      </c>
      <c r="G285" s="49">
        <v>927.56</v>
      </c>
      <c r="H285" s="50">
        <v>3710.89</v>
      </c>
    </row>
    <row r="286" spans="1:8" ht="15" customHeight="1">
      <c r="A286" s="162" t="s">
        <v>371</v>
      </c>
      <c r="B286" s="163"/>
      <c r="C286" s="163"/>
      <c r="D286" s="163"/>
      <c r="E286" s="163"/>
      <c r="F286" s="163"/>
      <c r="G286" s="163"/>
      <c r="H286" s="164"/>
    </row>
    <row r="287" spans="1:8" ht="15">
      <c r="A287" s="182">
        <v>2</v>
      </c>
      <c r="B287" s="187" t="str">
        <f>B282</f>
        <v>№ 837 от 20.12.13</v>
      </c>
      <c r="C287" s="42" t="s">
        <v>2</v>
      </c>
      <c r="D287" s="183" t="s">
        <v>283</v>
      </c>
      <c r="E287" s="183" t="s">
        <v>284</v>
      </c>
      <c r="F287" s="156" t="s">
        <v>32</v>
      </c>
      <c r="G287" s="156" t="s">
        <v>32</v>
      </c>
      <c r="H287" s="174">
        <v>1221.86</v>
      </c>
    </row>
    <row r="288" spans="1:8" ht="15">
      <c r="A288" s="182"/>
      <c r="B288" s="187"/>
      <c r="C288" s="42" t="s">
        <v>3</v>
      </c>
      <c r="D288" s="176"/>
      <c r="E288" s="176"/>
      <c r="F288" s="156"/>
      <c r="G288" s="156"/>
      <c r="H288" s="174"/>
    </row>
    <row r="289" spans="1:8" ht="24.75" customHeight="1">
      <c r="A289" s="182"/>
      <c r="B289" s="187"/>
      <c r="C289" s="42" t="s">
        <v>4</v>
      </c>
      <c r="D289" s="176"/>
      <c r="E289" s="176"/>
      <c r="F289" s="156"/>
      <c r="G289" s="156"/>
      <c r="H289" s="174"/>
    </row>
    <row r="290" spans="1:8" s="2" customFormat="1" ht="15">
      <c r="A290" s="182"/>
      <c r="B290" s="187"/>
      <c r="C290" s="51" t="s">
        <v>5</v>
      </c>
      <c r="D290" s="176"/>
      <c r="E290" s="176"/>
      <c r="F290" s="156"/>
      <c r="G290" s="156"/>
      <c r="H290" s="174"/>
    </row>
    <row r="291" spans="1:8" s="2" customFormat="1" ht="15.75" customHeight="1">
      <c r="A291" s="170" t="s">
        <v>26</v>
      </c>
      <c r="B291" s="171"/>
      <c r="C291" s="171"/>
      <c r="D291" s="171"/>
      <c r="E291" s="171"/>
      <c r="F291" s="171"/>
      <c r="G291" s="171"/>
      <c r="H291" s="172"/>
    </row>
    <row r="292" spans="1:8" s="2" customFormat="1" ht="16.5" customHeight="1">
      <c r="A292" s="162" t="str">
        <f>A281</f>
        <v>1. Прочие потребители</v>
      </c>
      <c r="B292" s="163"/>
      <c r="C292" s="163"/>
      <c r="D292" s="163"/>
      <c r="E292" s="163"/>
      <c r="F292" s="163"/>
      <c r="G292" s="163"/>
      <c r="H292" s="164"/>
    </row>
    <row r="293" spans="1:8" s="2" customFormat="1" ht="17.25" customHeight="1">
      <c r="A293" s="182">
        <v>1</v>
      </c>
      <c r="B293" s="187" t="s">
        <v>321</v>
      </c>
      <c r="C293" s="42" t="s">
        <v>2</v>
      </c>
      <c r="D293" s="183" t="s">
        <v>283</v>
      </c>
      <c r="E293" s="183" t="s">
        <v>284</v>
      </c>
      <c r="F293" s="49">
        <v>773369.22</v>
      </c>
      <c r="G293" s="49">
        <v>474.82</v>
      </c>
      <c r="H293" s="19">
        <v>1724.92</v>
      </c>
    </row>
    <row r="294" spans="1:8" s="2" customFormat="1" ht="17.25" customHeight="1">
      <c r="A294" s="182"/>
      <c r="B294" s="187"/>
      <c r="C294" s="42" t="s">
        <v>3</v>
      </c>
      <c r="D294" s="176"/>
      <c r="E294" s="176"/>
      <c r="F294" s="49">
        <v>958751.59</v>
      </c>
      <c r="G294" s="49">
        <v>479.67</v>
      </c>
      <c r="H294" s="19">
        <v>2150.76</v>
      </c>
    </row>
    <row r="295" spans="1:8" s="2" customFormat="1" ht="17.25" customHeight="1">
      <c r="A295" s="182"/>
      <c r="B295" s="187"/>
      <c r="C295" s="42" t="s">
        <v>4</v>
      </c>
      <c r="D295" s="176"/>
      <c r="E295" s="176"/>
      <c r="F295" s="49">
        <v>1124457.62</v>
      </c>
      <c r="G295" s="49">
        <v>493.23</v>
      </c>
      <c r="H295" s="19">
        <v>2604.38</v>
      </c>
    </row>
    <row r="296" spans="1:8" s="2" customFormat="1" ht="17.25" customHeight="1">
      <c r="A296" s="182"/>
      <c r="B296" s="187"/>
      <c r="C296" s="51" t="s">
        <v>5</v>
      </c>
      <c r="D296" s="176"/>
      <c r="E296" s="176"/>
      <c r="F296" s="49">
        <v>1475022.19</v>
      </c>
      <c r="G296" s="49">
        <v>927.56</v>
      </c>
      <c r="H296" s="19">
        <v>3708.43</v>
      </c>
    </row>
    <row r="297" spans="1:8" s="2" customFormat="1" ht="15.75" customHeight="1">
      <c r="A297" s="162" t="str">
        <f>A286</f>
        <v>2. Население и приравненные к нему потребители</v>
      </c>
      <c r="B297" s="163"/>
      <c r="C297" s="163"/>
      <c r="D297" s="163"/>
      <c r="E297" s="163"/>
      <c r="F297" s="163"/>
      <c r="G297" s="163"/>
      <c r="H297" s="164"/>
    </row>
    <row r="298" spans="1:8" s="2" customFormat="1" ht="16.5" customHeight="1">
      <c r="A298" s="182">
        <v>2</v>
      </c>
      <c r="B298" s="187" t="str">
        <f>B293</f>
        <v>№ 837 от 20.12.13</v>
      </c>
      <c r="C298" s="42" t="s">
        <v>2</v>
      </c>
      <c r="D298" s="183" t="s">
        <v>283</v>
      </c>
      <c r="E298" s="183" t="s">
        <v>284</v>
      </c>
      <c r="F298" s="156" t="s">
        <v>32</v>
      </c>
      <c r="G298" s="156" t="s">
        <v>32</v>
      </c>
      <c r="H298" s="166">
        <v>1304.09</v>
      </c>
    </row>
    <row r="299" spans="1:8" s="2" customFormat="1" ht="16.5" customHeight="1">
      <c r="A299" s="182"/>
      <c r="B299" s="187"/>
      <c r="C299" s="42" t="s">
        <v>3</v>
      </c>
      <c r="D299" s="176"/>
      <c r="E299" s="176"/>
      <c r="F299" s="156"/>
      <c r="G299" s="156"/>
      <c r="H299" s="166"/>
    </row>
    <row r="300" spans="1:8" s="2" customFormat="1" ht="16.5" customHeight="1">
      <c r="A300" s="182"/>
      <c r="B300" s="187"/>
      <c r="C300" s="42" t="s">
        <v>4</v>
      </c>
      <c r="D300" s="176"/>
      <c r="E300" s="176"/>
      <c r="F300" s="156"/>
      <c r="G300" s="156"/>
      <c r="H300" s="166"/>
    </row>
    <row r="301" spans="1:8" s="2" customFormat="1" ht="16.5" customHeight="1" thickBot="1">
      <c r="A301" s="221"/>
      <c r="B301" s="223"/>
      <c r="C301" s="55" t="s">
        <v>5</v>
      </c>
      <c r="D301" s="222"/>
      <c r="E301" s="222"/>
      <c r="F301" s="165"/>
      <c r="G301" s="165"/>
      <c r="H301" s="167"/>
    </row>
    <row r="302" spans="1:8" s="2" customFormat="1" ht="30.75" customHeight="1" thickBot="1">
      <c r="A302" s="184" t="s">
        <v>374</v>
      </c>
      <c r="B302" s="185"/>
      <c r="C302" s="185"/>
      <c r="D302" s="185"/>
      <c r="E302" s="185"/>
      <c r="F302" s="185"/>
      <c r="G302" s="185"/>
      <c r="H302" s="186"/>
    </row>
    <row r="303" spans="1:8" s="2" customFormat="1" ht="19.5" customHeight="1">
      <c r="A303" s="218" t="s">
        <v>25</v>
      </c>
      <c r="B303" s="219"/>
      <c r="C303" s="219"/>
      <c r="D303" s="219"/>
      <c r="E303" s="219"/>
      <c r="F303" s="219"/>
      <c r="G303" s="219"/>
      <c r="H303" s="220"/>
    </row>
    <row r="304" spans="1:8" s="2" customFormat="1" ht="18" customHeight="1">
      <c r="A304" s="162" t="s">
        <v>28</v>
      </c>
      <c r="B304" s="163"/>
      <c r="C304" s="163"/>
      <c r="D304" s="163"/>
      <c r="E304" s="163"/>
      <c r="F304" s="163"/>
      <c r="G304" s="163"/>
      <c r="H304" s="164"/>
    </row>
    <row r="305" spans="1:8" s="2" customFormat="1" ht="15.75" customHeight="1">
      <c r="A305" s="205">
        <v>1</v>
      </c>
      <c r="B305" s="189" t="s">
        <v>367</v>
      </c>
      <c r="C305" s="17" t="s">
        <v>2</v>
      </c>
      <c r="D305" s="188">
        <v>41639</v>
      </c>
      <c r="E305" s="160" t="s">
        <v>429</v>
      </c>
      <c r="F305" s="24">
        <f>667.86411*1000</f>
        <v>667864.11</v>
      </c>
      <c r="G305" s="24">
        <f>0.05955*1000</f>
        <v>59.55</v>
      </c>
      <c r="H305" s="26">
        <f>1.03024*1000</f>
        <v>1030.24</v>
      </c>
    </row>
    <row r="306" spans="1:8" s="2" customFormat="1" ht="15.75" customHeight="1">
      <c r="A306" s="205"/>
      <c r="B306" s="160"/>
      <c r="C306" s="17" t="s">
        <v>3</v>
      </c>
      <c r="D306" s="160"/>
      <c r="E306" s="160"/>
      <c r="F306" s="24">
        <f>903.02027*1000</f>
        <v>903020.27</v>
      </c>
      <c r="G306" s="24">
        <f>0.23761*1000</f>
        <v>237.60999999999999</v>
      </c>
      <c r="H306" s="26">
        <f>1.50434*1000</f>
        <v>1504.34</v>
      </c>
    </row>
    <row r="307" spans="1:8" s="2" customFormat="1" ht="15.75" customHeight="1">
      <c r="A307" s="205"/>
      <c r="B307" s="160"/>
      <c r="C307" s="17" t="s">
        <v>4</v>
      </c>
      <c r="D307" s="160"/>
      <c r="E307" s="160"/>
      <c r="F307" s="24">
        <f>1008.95261*1000</f>
        <v>1008952.6100000001</v>
      </c>
      <c r="G307" s="24">
        <f>0.27019*1000</f>
        <v>270.19</v>
      </c>
      <c r="H307" s="26">
        <f>1.77699*1000</f>
        <v>1776.99</v>
      </c>
    </row>
    <row r="308" spans="1:8" s="2" customFormat="1" ht="15.75" customHeight="1">
      <c r="A308" s="205"/>
      <c r="B308" s="160"/>
      <c r="C308" s="25" t="s">
        <v>5</v>
      </c>
      <c r="D308" s="160"/>
      <c r="E308" s="160"/>
      <c r="F308" s="24">
        <f>1434.65314*1000</f>
        <v>1434653.14</v>
      </c>
      <c r="G308" s="24">
        <f>0.92552*1000</f>
        <v>925.52</v>
      </c>
      <c r="H308" s="26">
        <f>3.14877*1000</f>
        <v>3148.77</v>
      </c>
    </row>
    <row r="309" spans="1:8" s="2" customFormat="1" ht="14.25" customHeight="1">
      <c r="A309" s="162" t="s">
        <v>431</v>
      </c>
      <c r="B309" s="163"/>
      <c r="C309" s="163"/>
      <c r="D309" s="163"/>
      <c r="E309" s="163"/>
      <c r="F309" s="163"/>
      <c r="G309" s="163"/>
      <c r="H309" s="164"/>
    </row>
    <row r="310" spans="1:8" s="2" customFormat="1" ht="15" customHeight="1">
      <c r="A310" s="205">
        <v>2</v>
      </c>
      <c r="B310" s="189" t="s">
        <v>367</v>
      </c>
      <c r="C310" s="17" t="s">
        <v>2</v>
      </c>
      <c r="D310" s="188">
        <v>41639</v>
      </c>
      <c r="E310" s="160" t="s">
        <v>429</v>
      </c>
      <c r="F310" s="240" t="s">
        <v>32</v>
      </c>
      <c r="G310" s="240" t="s">
        <v>32</v>
      </c>
      <c r="H310" s="230">
        <f>0.52467*1000</f>
        <v>524.67</v>
      </c>
    </row>
    <row r="311" spans="1:8" s="2" customFormat="1" ht="15" customHeight="1">
      <c r="A311" s="205"/>
      <c r="B311" s="160"/>
      <c r="C311" s="17" t="s">
        <v>3</v>
      </c>
      <c r="D311" s="160"/>
      <c r="E311" s="160"/>
      <c r="F311" s="240"/>
      <c r="G311" s="240"/>
      <c r="H311" s="230"/>
    </row>
    <row r="312" spans="1:8" s="2" customFormat="1" ht="15" customHeight="1">
      <c r="A312" s="205"/>
      <c r="B312" s="160"/>
      <c r="C312" s="17" t="s">
        <v>4</v>
      </c>
      <c r="D312" s="160"/>
      <c r="E312" s="160"/>
      <c r="F312" s="240"/>
      <c r="G312" s="240"/>
      <c r="H312" s="230"/>
    </row>
    <row r="313" spans="1:8" s="2" customFormat="1" ht="15" customHeight="1">
      <c r="A313" s="205"/>
      <c r="B313" s="160"/>
      <c r="C313" s="25" t="s">
        <v>5</v>
      </c>
      <c r="D313" s="160"/>
      <c r="E313" s="160"/>
      <c r="F313" s="240"/>
      <c r="G313" s="240"/>
      <c r="H313" s="230"/>
    </row>
    <row r="314" spans="1:8" s="2" customFormat="1" ht="14.25">
      <c r="A314" s="170" t="s">
        <v>26</v>
      </c>
      <c r="B314" s="171"/>
      <c r="C314" s="171"/>
      <c r="D314" s="171"/>
      <c r="E314" s="171"/>
      <c r="F314" s="171"/>
      <c r="G314" s="171"/>
      <c r="H314" s="172"/>
    </row>
    <row r="315" spans="1:8" s="2" customFormat="1" ht="18.75" customHeight="1">
      <c r="A315" s="162" t="str">
        <f>A304</f>
        <v>1. Прочие потребители</v>
      </c>
      <c r="B315" s="163"/>
      <c r="C315" s="163"/>
      <c r="D315" s="163"/>
      <c r="E315" s="163"/>
      <c r="F315" s="163"/>
      <c r="G315" s="163"/>
      <c r="H315" s="164"/>
    </row>
    <row r="316" spans="1:8" s="2" customFormat="1" ht="15.75" customHeight="1">
      <c r="A316" s="205">
        <v>1</v>
      </c>
      <c r="B316" s="189" t="s">
        <v>367</v>
      </c>
      <c r="C316" s="17" t="s">
        <v>2</v>
      </c>
      <c r="D316" s="188">
        <v>41639</v>
      </c>
      <c r="E316" s="160" t="s">
        <v>429</v>
      </c>
      <c r="F316" s="24">
        <f>667.86411*1000</f>
        <v>667864.11</v>
      </c>
      <c r="G316" s="24">
        <f>0.05955*1000</f>
        <v>59.55</v>
      </c>
      <c r="H316" s="26">
        <f>1.03024*1000</f>
        <v>1030.24</v>
      </c>
    </row>
    <row r="317" spans="1:8" s="2" customFormat="1" ht="15.75" customHeight="1">
      <c r="A317" s="205"/>
      <c r="B317" s="160"/>
      <c r="C317" s="17" t="s">
        <v>3</v>
      </c>
      <c r="D317" s="160"/>
      <c r="E317" s="160"/>
      <c r="F317" s="24">
        <f>903.02027*1000</f>
        <v>903020.27</v>
      </c>
      <c r="G317" s="24">
        <f>0.23761*1000</f>
        <v>237.60999999999999</v>
      </c>
      <c r="H317" s="26">
        <f>1.50434*1000</f>
        <v>1504.34</v>
      </c>
    </row>
    <row r="318" spans="1:8" s="2" customFormat="1" ht="15.75" customHeight="1">
      <c r="A318" s="205"/>
      <c r="B318" s="160"/>
      <c r="C318" s="17" t="s">
        <v>4</v>
      </c>
      <c r="D318" s="160"/>
      <c r="E318" s="160"/>
      <c r="F318" s="24">
        <f>1008.95261*1000</f>
        <v>1008952.6100000001</v>
      </c>
      <c r="G318" s="24">
        <f>0.27019*1000</f>
        <v>270.19</v>
      </c>
      <c r="H318" s="26">
        <f>1.77699*1000</f>
        <v>1776.99</v>
      </c>
    </row>
    <row r="319" spans="1:8" s="2" customFormat="1" ht="15.75" customHeight="1">
      <c r="A319" s="205"/>
      <c r="B319" s="160"/>
      <c r="C319" s="25" t="s">
        <v>5</v>
      </c>
      <c r="D319" s="160"/>
      <c r="E319" s="160"/>
      <c r="F319" s="24">
        <f>1434.65314*1000</f>
        <v>1434653.14</v>
      </c>
      <c r="G319" s="24">
        <f>0.92552*1000</f>
        <v>925.52</v>
      </c>
      <c r="H319" s="26">
        <f>3.14877*1000</f>
        <v>3148.77</v>
      </c>
    </row>
    <row r="320" spans="1:8" s="2" customFormat="1" ht="15.75" customHeight="1">
      <c r="A320" s="162" t="str">
        <f>A309</f>
        <v> 2.Население и приравненные к нему категории потребителей</v>
      </c>
      <c r="B320" s="163"/>
      <c r="C320" s="163"/>
      <c r="D320" s="163"/>
      <c r="E320" s="163"/>
      <c r="F320" s="163"/>
      <c r="G320" s="163"/>
      <c r="H320" s="164"/>
    </row>
    <row r="321" spans="1:8" s="2" customFormat="1" ht="15.75" customHeight="1">
      <c r="A321" s="205">
        <v>2</v>
      </c>
      <c r="B321" s="189" t="s">
        <v>367</v>
      </c>
      <c r="C321" s="17" t="s">
        <v>2</v>
      </c>
      <c r="D321" s="188">
        <v>41639</v>
      </c>
      <c r="E321" s="160" t="s">
        <v>429</v>
      </c>
      <c r="F321" s="240" t="s">
        <v>32</v>
      </c>
      <c r="G321" s="240" t="s">
        <v>32</v>
      </c>
      <c r="H321" s="230">
        <f>0.70381*1000</f>
        <v>703.8100000000001</v>
      </c>
    </row>
    <row r="322" spans="1:8" s="2" customFormat="1" ht="15.75" customHeight="1">
      <c r="A322" s="205"/>
      <c r="B322" s="160"/>
      <c r="C322" s="17" t="s">
        <v>3</v>
      </c>
      <c r="D322" s="160"/>
      <c r="E322" s="160"/>
      <c r="F322" s="240"/>
      <c r="G322" s="240"/>
      <c r="H322" s="230"/>
    </row>
    <row r="323" spans="1:8" s="2" customFormat="1" ht="15.75" customHeight="1">
      <c r="A323" s="205"/>
      <c r="B323" s="160"/>
      <c r="C323" s="17" t="s">
        <v>4</v>
      </c>
      <c r="D323" s="160"/>
      <c r="E323" s="160"/>
      <c r="F323" s="240"/>
      <c r="G323" s="240"/>
      <c r="H323" s="230"/>
    </row>
    <row r="324" spans="1:8" s="2" customFormat="1" ht="15.75" customHeight="1" thickBot="1">
      <c r="A324" s="226"/>
      <c r="B324" s="190"/>
      <c r="C324" s="23" t="s">
        <v>5</v>
      </c>
      <c r="D324" s="190"/>
      <c r="E324" s="190"/>
      <c r="F324" s="241"/>
      <c r="G324" s="241"/>
      <c r="H324" s="239"/>
    </row>
    <row r="325" s="2" customFormat="1" ht="9.75" customHeight="1">
      <c r="H325" s="13"/>
    </row>
    <row r="326" s="2" customFormat="1" ht="9.75" customHeight="1">
      <c r="H326" s="13"/>
    </row>
    <row r="327" s="2" customFormat="1" ht="9.75" customHeight="1">
      <c r="H327" s="13"/>
    </row>
    <row r="328" s="2" customFormat="1" ht="9.75" customHeight="1">
      <c r="H328" s="13"/>
    </row>
    <row r="329" s="2" customFormat="1" ht="13.5" customHeight="1">
      <c r="H329" s="13"/>
    </row>
    <row r="330" s="2" customFormat="1" ht="12.75">
      <c r="H330" s="13"/>
    </row>
    <row r="331" s="2" customFormat="1" ht="12.75">
      <c r="H331" s="13"/>
    </row>
    <row r="332" s="2" customFormat="1" ht="9.75" customHeight="1">
      <c r="H332" s="13"/>
    </row>
    <row r="333" s="2" customFormat="1" ht="9.75" customHeight="1">
      <c r="H333" s="13"/>
    </row>
    <row r="334" s="2" customFormat="1" ht="9.75" customHeight="1">
      <c r="H334" s="13"/>
    </row>
    <row r="335" s="2" customFormat="1" ht="9.75" customHeight="1">
      <c r="H335" s="13"/>
    </row>
    <row r="336" s="2" customFormat="1" ht="12.75">
      <c r="H336" s="13"/>
    </row>
    <row r="337" s="2" customFormat="1" ht="13.5" customHeight="1">
      <c r="H337" s="13"/>
    </row>
    <row r="338" s="2" customFormat="1" ht="12.75">
      <c r="H338" s="13"/>
    </row>
    <row r="339" s="2" customFormat="1" ht="9.75" customHeight="1">
      <c r="H339" s="13"/>
    </row>
    <row r="340" s="2" customFormat="1" ht="9.75" customHeight="1">
      <c r="H340" s="13"/>
    </row>
    <row r="341" s="2" customFormat="1" ht="9.75" customHeight="1">
      <c r="H341" s="13"/>
    </row>
    <row r="342" s="2" customFormat="1" ht="9.75" customHeight="1">
      <c r="H342" s="13"/>
    </row>
    <row r="343" s="2" customFormat="1" ht="9.75" customHeight="1">
      <c r="H343" s="13"/>
    </row>
    <row r="344" s="2" customFormat="1" ht="9.75" customHeight="1">
      <c r="H344" s="13"/>
    </row>
    <row r="345" s="2" customFormat="1" ht="9.75" customHeight="1">
      <c r="H345" s="13"/>
    </row>
    <row r="346" s="2" customFormat="1" ht="9.75" customHeight="1">
      <c r="H346" s="13"/>
    </row>
    <row r="347" s="2" customFormat="1" ht="9.75" customHeight="1">
      <c r="H347" s="13"/>
    </row>
    <row r="348" s="2" customFormat="1" ht="9.75" customHeight="1">
      <c r="H348" s="13"/>
    </row>
    <row r="349" s="2" customFormat="1" ht="9.75" customHeight="1">
      <c r="H349" s="13"/>
    </row>
    <row r="350" s="2" customFormat="1" ht="9.75" customHeight="1">
      <c r="H350" s="13"/>
    </row>
    <row r="351" s="2" customFormat="1" ht="9.75" customHeight="1">
      <c r="H351" s="13"/>
    </row>
    <row r="352" s="2" customFormat="1" ht="9.75" customHeight="1">
      <c r="H352" s="13"/>
    </row>
    <row r="353" s="2" customFormat="1" ht="9.75" customHeight="1">
      <c r="H353" s="13"/>
    </row>
    <row r="354" s="2" customFormat="1" ht="9.75" customHeight="1">
      <c r="H354" s="13"/>
    </row>
    <row r="355" s="2" customFormat="1" ht="9.75" customHeight="1">
      <c r="H355" s="13"/>
    </row>
    <row r="356" s="2" customFormat="1" ht="9.75" customHeight="1">
      <c r="H356" s="13"/>
    </row>
    <row r="357" s="2" customFormat="1" ht="9.75" customHeight="1">
      <c r="H357" s="13"/>
    </row>
    <row r="358" s="2" customFormat="1" ht="9.75" customHeight="1">
      <c r="H358" s="13"/>
    </row>
    <row r="359" s="2" customFormat="1" ht="9.75" customHeight="1">
      <c r="H359" s="13"/>
    </row>
    <row r="360" s="2" customFormat="1" ht="9.75" customHeight="1">
      <c r="H360" s="13"/>
    </row>
    <row r="361" s="2" customFormat="1" ht="9.75" customHeight="1">
      <c r="H361" s="13"/>
    </row>
    <row r="362" s="2" customFormat="1" ht="9.75" customHeight="1">
      <c r="H362" s="13"/>
    </row>
    <row r="363" s="2" customFormat="1" ht="9.75" customHeight="1">
      <c r="H363" s="13"/>
    </row>
    <row r="364" s="2" customFormat="1" ht="9.75" customHeight="1">
      <c r="H364" s="13"/>
    </row>
    <row r="365" s="2" customFormat="1" ht="9.75" customHeight="1">
      <c r="H365" s="13"/>
    </row>
    <row r="366" s="2" customFormat="1" ht="9.75" customHeight="1">
      <c r="H366" s="13"/>
    </row>
    <row r="367" s="2" customFormat="1" ht="9.75" customHeight="1">
      <c r="H367" s="13"/>
    </row>
    <row r="368" s="2" customFormat="1" ht="9.75" customHeight="1">
      <c r="H368" s="13"/>
    </row>
    <row r="369" s="2" customFormat="1" ht="9.75" customHeight="1">
      <c r="H369" s="13"/>
    </row>
    <row r="370" s="2" customFormat="1" ht="9.75" customHeight="1">
      <c r="H370" s="13"/>
    </row>
    <row r="371" s="2" customFormat="1" ht="9.75" customHeight="1">
      <c r="H371" s="13"/>
    </row>
    <row r="372" s="2" customFormat="1" ht="9.75" customHeight="1">
      <c r="H372" s="13"/>
    </row>
    <row r="373" s="2" customFormat="1" ht="9.75" customHeight="1">
      <c r="H373" s="13"/>
    </row>
    <row r="374" s="2" customFormat="1" ht="9.75" customHeight="1">
      <c r="H374" s="13"/>
    </row>
    <row r="375" s="2" customFormat="1" ht="9.75" customHeight="1">
      <c r="H375" s="13"/>
    </row>
    <row r="376" s="2" customFormat="1" ht="9.75" customHeight="1">
      <c r="H376" s="13"/>
    </row>
    <row r="377" s="2" customFormat="1" ht="9.75" customHeight="1">
      <c r="H377" s="13"/>
    </row>
    <row r="378" s="2" customFormat="1" ht="9.75" customHeight="1">
      <c r="H378" s="13"/>
    </row>
    <row r="379" s="2" customFormat="1" ht="9.75" customHeight="1">
      <c r="H379" s="13"/>
    </row>
    <row r="380" s="2" customFormat="1" ht="9.75" customHeight="1">
      <c r="H380" s="13"/>
    </row>
    <row r="381" s="2" customFormat="1" ht="9.75" customHeight="1">
      <c r="H381" s="13"/>
    </row>
    <row r="382" s="2" customFormat="1" ht="9.75" customHeight="1">
      <c r="H382" s="13"/>
    </row>
    <row r="383" s="2" customFormat="1" ht="9.75" customHeight="1">
      <c r="H383" s="13"/>
    </row>
    <row r="384" s="2" customFormat="1" ht="9.75" customHeight="1">
      <c r="H384" s="13"/>
    </row>
    <row r="385" s="2" customFormat="1" ht="9.75" customHeight="1">
      <c r="H385" s="13"/>
    </row>
    <row r="386" s="2" customFormat="1" ht="9.75" customHeight="1">
      <c r="H386" s="13"/>
    </row>
    <row r="387" s="2" customFormat="1" ht="9.75" customHeight="1">
      <c r="H387" s="13"/>
    </row>
    <row r="388" s="2" customFormat="1" ht="9.75" customHeight="1">
      <c r="H388" s="13"/>
    </row>
    <row r="389" s="2" customFormat="1" ht="9.75" customHeight="1">
      <c r="H389" s="13"/>
    </row>
    <row r="390" s="2" customFormat="1" ht="9.75" customHeight="1">
      <c r="H390" s="13"/>
    </row>
    <row r="391" s="2" customFormat="1" ht="9.75" customHeight="1">
      <c r="H391" s="13"/>
    </row>
    <row r="392" s="2" customFormat="1" ht="9.75" customHeight="1">
      <c r="H392" s="13"/>
    </row>
    <row r="393" s="2" customFormat="1" ht="9.75" customHeight="1">
      <c r="H393" s="13"/>
    </row>
    <row r="394" s="2" customFormat="1" ht="9.75" customHeight="1">
      <c r="H394" s="13"/>
    </row>
    <row r="395" s="2" customFormat="1" ht="9.75" customHeight="1">
      <c r="H395" s="13"/>
    </row>
    <row r="396" s="2" customFormat="1" ht="9.75" customHeight="1">
      <c r="H396" s="13"/>
    </row>
    <row r="397" s="2" customFormat="1" ht="9.75" customHeight="1">
      <c r="H397" s="13"/>
    </row>
    <row r="398" s="2" customFormat="1" ht="9.75" customHeight="1">
      <c r="H398" s="13"/>
    </row>
    <row r="399" s="2" customFormat="1" ht="9.75" customHeight="1">
      <c r="H399" s="13"/>
    </row>
    <row r="400" s="2" customFormat="1" ht="9.75" customHeight="1">
      <c r="H400" s="13"/>
    </row>
    <row r="401" s="2" customFormat="1" ht="9.75" customHeight="1">
      <c r="H401" s="13"/>
    </row>
    <row r="402" s="2" customFormat="1" ht="9.75" customHeight="1">
      <c r="H402" s="13"/>
    </row>
    <row r="403" s="2" customFormat="1" ht="9.75" customHeight="1">
      <c r="H403" s="13"/>
    </row>
    <row r="404" s="2" customFormat="1" ht="9.75" customHeight="1">
      <c r="H404" s="13"/>
    </row>
    <row r="405" s="2" customFormat="1" ht="9.75" customHeight="1">
      <c r="H405" s="13"/>
    </row>
    <row r="406" s="2" customFormat="1" ht="9.75" customHeight="1">
      <c r="H406" s="13"/>
    </row>
    <row r="407" s="2" customFormat="1" ht="9.75" customHeight="1">
      <c r="H407" s="13"/>
    </row>
    <row r="408" s="2" customFormat="1" ht="9.75" customHeight="1">
      <c r="H408" s="13"/>
    </row>
    <row r="409" s="2" customFormat="1" ht="9.75" customHeight="1">
      <c r="H409" s="13"/>
    </row>
    <row r="410" s="2" customFormat="1" ht="9.75" customHeight="1">
      <c r="H410" s="13"/>
    </row>
    <row r="411" s="2" customFormat="1" ht="9.75" customHeight="1">
      <c r="H411" s="13"/>
    </row>
    <row r="412" s="2" customFormat="1" ht="12.75">
      <c r="H412" s="13"/>
    </row>
    <row r="413" s="2" customFormat="1" ht="12.75">
      <c r="H413" s="13"/>
    </row>
    <row r="414" s="2" customFormat="1" ht="12.75">
      <c r="H414" s="13"/>
    </row>
    <row r="415" s="2" customFormat="1" ht="12.75">
      <c r="H415" s="13"/>
    </row>
    <row r="416" s="2" customFormat="1" ht="12.75">
      <c r="H416" s="13"/>
    </row>
    <row r="417" s="2" customFormat="1" ht="12.75">
      <c r="H417" s="13"/>
    </row>
    <row r="418" s="2" customFormat="1" ht="12.75">
      <c r="H418" s="13"/>
    </row>
    <row r="419" s="2" customFormat="1" ht="12.75">
      <c r="H419" s="13"/>
    </row>
    <row r="420" s="2" customFormat="1" ht="12.75">
      <c r="H420" s="13"/>
    </row>
    <row r="421" s="2" customFormat="1" ht="12.75">
      <c r="H421" s="13"/>
    </row>
    <row r="422" s="2" customFormat="1" ht="12.75">
      <c r="H422" s="13"/>
    </row>
    <row r="423" s="2" customFormat="1" ht="12.75">
      <c r="H423" s="13"/>
    </row>
    <row r="424" s="2" customFormat="1" ht="12.75">
      <c r="H424" s="13"/>
    </row>
    <row r="425" s="2" customFormat="1" ht="9.75" customHeight="1">
      <c r="H425" s="13"/>
    </row>
    <row r="426" s="2" customFormat="1" ht="9.75" customHeight="1">
      <c r="H426" s="13"/>
    </row>
    <row r="427" s="2" customFormat="1" ht="9.75" customHeight="1">
      <c r="H427" s="13"/>
    </row>
    <row r="428" s="2" customFormat="1" ht="9.75" customHeight="1">
      <c r="H428" s="13"/>
    </row>
    <row r="429" s="2" customFormat="1" ht="9.75" customHeight="1">
      <c r="H429" s="13"/>
    </row>
    <row r="430" s="2" customFormat="1" ht="9.75" customHeight="1">
      <c r="H430" s="13"/>
    </row>
    <row r="431" s="2" customFormat="1" ht="9.75" customHeight="1">
      <c r="H431" s="13"/>
    </row>
    <row r="432" s="2" customFormat="1" ht="9.75" customHeight="1">
      <c r="H432" s="13"/>
    </row>
    <row r="433" s="2" customFormat="1" ht="9.75" customHeight="1">
      <c r="H433" s="13"/>
    </row>
    <row r="434" s="2" customFormat="1" ht="9.75" customHeight="1">
      <c r="H434" s="13"/>
    </row>
    <row r="435" s="2" customFormat="1" ht="9.75" customHeight="1">
      <c r="H435" s="13"/>
    </row>
    <row r="436" s="2" customFormat="1" ht="9.75" customHeight="1">
      <c r="H436" s="13"/>
    </row>
    <row r="437" s="2" customFormat="1" ht="9.75" customHeight="1">
      <c r="H437" s="13"/>
    </row>
    <row r="438" s="2" customFormat="1" ht="9.75" customHeight="1">
      <c r="H438" s="13"/>
    </row>
    <row r="439" s="2" customFormat="1" ht="9.75" customHeight="1">
      <c r="H439" s="13"/>
    </row>
    <row r="440" s="2" customFormat="1" ht="9.75" customHeight="1">
      <c r="H440" s="13"/>
    </row>
    <row r="441" s="2" customFormat="1" ht="12.75">
      <c r="H441" s="13"/>
    </row>
    <row r="442" s="2" customFormat="1" ht="12.75">
      <c r="H442" s="13"/>
    </row>
    <row r="443" s="2" customFormat="1" ht="12.75">
      <c r="H443" s="13"/>
    </row>
    <row r="444" s="2" customFormat="1" ht="9.75" customHeight="1">
      <c r="H444" s="13"/>
    </row>
    <row r="445" s="2" customFormat="1" ht="9.75" customHeight="1">
      <c r="H445" s="13"/>
    </row>
    <row r="446" s="2" customFormat="1" ht="9.75" customHeight="1">
      <c r="H446" s="13"/>
    </row>
    <row r="447" s="2" customFormat="1" ht="9.75" customHeight="1">
      <c r="H447" s="13"/>
    </row>
    <row r="448" s="2" customFormat="1" ht="9.75" customHeight="1">
      <c r="H448" s="13"/>
    </row>
    <row r="449" s="2" customFormat="1" ht="9.75" customHeight="1">
      <c r="H449" s="13"/>
    </row>
    <row r="450" s="2" customFormat="1" ht="9.75" customHeight="1">
      <c r="H450" s="13"/>
    </row>
    <row r="451" s="2" customFormat="1" ht="12.75">
      <c r="H451" s="13"/>
    </row>
    <row r="452" s="2" customFormat="1" ht="9.75" customHeight="1">
      <c r="H452" s="13"/>
    </row>
    <row r="453" s="2" customFormat="1" ht="9.75" customHeight="1">
      <c r="H453" s="13"/>
    </row>
    <row r="454" s="2" customFormat="1" ht="9.75" customHeight="1">
      <c r="H454" s="13"/>
    </row>
    <row r="455" s="2" customFormat="1" ht="9.75" customHeight="1">
      <c r="H455" s="13"/>
    </row>
    <row r="456" s="2" customFormat="1" ht="12.75">
      <c r="H456" s="13"/>
    </row>
    <row r="457" s="2" customFormat="1" ht="12.75">
      <c r="H457" s="13"/>
    </row>
    <row r="458" s="2" customFormat="1" ht="12.75">
      <c r="H458" s="13"/>
    </row>
    <row r="459" s="2" customFormat="1" ht="12.75">
      <c r="H459" s="13"/>
    </row>
    <row r="460" s="2" customFormat="1" ht="9.75" customHeight="1">
      <c r="H460" s="13"/>
    </row>
    <row r="461" s="2" customFormat="1" ht="9.75" customHeight="1">
      <c r="H461" s="13"/>
    </row>
    <row r="462" s="2" customFormat="1" ht="9.75" customHeight="1">
      <c r="H462" s="13"/>
    </row>
    <row r="463" s="2" customFormat="1" ht="12.75">
      <c r="H463" s="13"/>
    </row>
    <row r="464" s="2" customFormat="1" ht="9.75" customHeight="1">
      <c r="H464" s="13"/>
    </row>
    <row r="465" s="2" customFormat="1" ht="9.75" customHeight="1">
      <c r="H465" s="13"/>
    </row>
    <row r="466" s="2" customFormat="1" ht="9.75" customHeight="1">
      <c r="H466" s="13"/>
    </row>
    <row r="467" s="2" customFormat="1" ht="12.75">
      <c r="H467" s="13"/>
    </row>
    <row r="468" s="2" customFormat="1" ht="9.75" customHeight="1">
      <c r="H468" s="13"/>
    </row>
    <row r="469" s="2" customFormat="1" ht="9.75" customHeight="1">
      <c r="H469" s="13"/>
    </row>
    <row r="470" s="2" customFormat="1" ht="9.75" customHeight="1">
      <c r="H470" s="13"/>
    </row>
    <row r="471" s="2" customFormat="1" ht="12.75">
      <c r="H471" s="13"/>
    </row>
    <row r="472" s="2" customFormat="1" ht="12.75">
      <c r="H472" s="13"/>
    </row>
    <row r="473" s="2" customFormat="1" ht="12.75">
      <c r="H473" s="13"/>
    </row>
    <row r="474" s="2" customFormat="1" ht="12.75">
      <c r="H474" s="13"/>
    </row>
    <row r="475" s="2" customFormat="1" ht="9.75" customHeight="1">
      <c r="H475" s="13"/>
    </row>
    <row r="476" s="2" customFormat="1" ht="9.75" customHeight="1">
      <c r="H476" s="13"/>
    </row>
    <row r="477" s="2" customFormat="1" ht="9.75" customHeight="1">
      <c r="H477" s="13"/>
    </row>
    <row r="478" s="2" customFormat="1" ht="12.75">
      <c r="H478" s="13"/>
    </row>
    <row r="479" s="2" customFormat="1" ht="9.75" customHeight="1">
      <c r="H479" s="13"/>
    </row>
    <row r="480" s="2" customFormat="1" ht="9.75" customHeight="1">
      <c r="H480" s="13"/>
    </row>
    <row r="481" s="2" customFormat="1" ht="9.75" customHeight="1">
      <c r="H481" s="13"/>
    </row>
    <row r="482" s="2" customFormat="1" ht="12.75">
      <c r="H482" s="13"/>
    </row>
    <row r="483" s="2" customFormat="1" ht="9.75" customHeight="1">
      <c r="H483" s="13"/>
    </row>
    <row r="484" s="2" customFormat="1" ht="9.75" customHeight="1">
      <c r="H484" s="13"/>
    </row>
    <row r="485" s="2" customFormat="1" ht="9.75" customHeight="1">
      <c r="H485" s="13"/>
    </row>
    <row r="486" s="2" customFormat="1" ht="12.75">
      <c r="H486" s="13"/>
    </row>
    <row r="487" s="2" customFormat="1" ht="9.75" customHeight="1">
      <c r="H487" s="13"/>
    </row>
    <row r="488" s="2" customFormat="1" ht="9.75" customHeight="1">
      <c r="H488" s="13"/>
    </row>
    <row r="489" s="2" customFormat="1" ht="9.75" customHeight="1">
      <c r="H489" s="13"/>
    </row>
    <row r="490" s="2" customFormat="1" ht="12.75">
      <c r="H490" s="13"/>
    </row>
    <row r="491" s="2" customFormat="1" ht="9.75" customHeight="1">
      <c r="H491" s="13"/>
    </row>
    <row r="492" s="2" customFormat="1" ht="9.75" customHeight="1">
      <c r="H492" s="13"/>
    </row>
    <row r="493" s="2" customFormat="1" ht="9.75" customHeight="1">
      <c r="H493" s="13"/>
    </row>
    <row r="494" s="2" customFormat="1" ht="12.75">
      <c r="H494" s="13"/>
    </row>
    <row r="495" s="2" customFormat="1" ht="9.75" customHeight="1">
      <c r="H495" s="13"/>
    </row>
    <row r="496" s="2" customFormat="1" ht="9.75" customHeight="1">
      <c r="H496" s="13"/>
    </row>
    <row r="497" s="2" customFormat="1" ht="9.75" customHeight="1">
      <c r="H497" s="13"/>
    </row>
    <row r="498" s="2" customFormat="1" ht="12.75">
      <c r="H498" s="13"/>
    </row>
    <row r="499" s="2" customFormat="1" ht="9.75" customHeight="1">
      <c r="H499" s="13"/>
    </row>
    <row r="500" s="2" customFormat="1" ht="9.75" customHeight="1">
      <c r="H500" s="13"/>
    </row>
    <row r="501" s="2" customFormat="1" ht="9.75" customHeight="1">
      <c r="H501" s="13"/>
    </row>
    <row r="502" s="2" customFormat="1" ht="12.75">
      <c r="H502" s="13"/>
    </row>
    <row r="503" s="2" customFormat="1" ht="9.75" customHeight="1">
      <c r="H503" s="13"/>
    </row>
    <row r="504" s="2" customFormat="1" ht="9.75" customHeight="1">
      <c r="H504" s="13"/>
    </row>
    <row r="505" s="2" customFormat="1" ht="9.75" customHeight="1">
      <c r="H505" s="13"/>
    </row>
    <row r="506" s="2" customFormat="1" ht="12.75">
      <c r="H506" s="13"/>
    </row>
    <row r="507" s="2" customFormat="1" ht="9.75" customHeight="1">
      <c r="H507" s="13"/>
    </row>
    <row r="508" s="2" customFormat="1" ht="9.75" customHeight="1">
      <c r="H508" s="13"/>
    </row>
    <row r="509" s="2" customFormat="1" ht="9.75" customHeight="1">
      <c r="H509" s="13"/>
    </row>
    <row r="510" s="2" customFormat="1" ht="12.75">
      <c r="H510" s="13"/>
    </row>
    <row r="511" s="2" customFormat="1" ht="9.75" customHeight="1">
      <c r="H511" s="13"/>
    </row>
    <row r="512" s="2" customFormat="1" ht="9.75" customHeight="1">
      <c r="H512" s="13"/>
    </row>
    <row r="513" s="2" customFormat="1" ht="9.75" customHeight="1">
      <c r="H513" s="13"/>
    </row>
    <row r="514" s="2" customFormat="1" ht="12.75">
      <c r="H514" s="13"/>
    </row>
    <row r="515" s="2" customFormat="1" ht="9.75" customHeight="1">
      <c r="H515" s="13"/>
    </row>
    <row r="516" s="2" customFormat="1" ht="9.75" customHeight="1">
      <c r="H516" s="13"/>
    </row>
    <row r="517" s="2" customFormat="1" ht="9.75" customHeight="1">
      <c r="H517" s="13"/>
    </row>
    <row r="518" s="2" customFormat="1" ht="12.75">
      <c r="H518" s="13"/>
    </row>
    <row r="519" s="2" customFormat="1" ht="9.75" customHeight="1">
      <c r="H519" s="13"/>
    </row>
    <row r="520" s="2" customFormat="1" ht="9.75" customHeight="1">
      <c r="H520" s="13"/>
    </row>
    <row r="521" s="2" customFormat="1" ht="9.75" customHeight="1">
      <c r="H521" s="13"/>
    </row>
    <row r="522" s="2" customFormat="1" ht="12.75">
      <c r="H522" s="13"/>
    </row>
    <row r="523" s="2" customFormat="1" ht="12.75">
      <c r="H523" s="13"/>
    </row>
    <row r="524" s="2" customFormat="1" ht="9.75" customHeight="1">
      <c r="H524" s="13"/>
    </row>
    <row r="525" s="2" customFormat="1" ht="9.75" customHeight="1">
      <c r="H525" s="13"/>
    </row>
    <row r="526" s="2" customFormat="1" ht="9.75" customHeight="1">
      <c r="H526" s="13"/>
    </row>
    <row r="527" s="2" customFormat="1" ht="12.75">
      <c r="H527" s="13"/>
    </row>
    <row r="528" spans="1:8" s="2" customFormat="1" ht="7.5" customHeight="1">
      <c r="A528" s="3"/>
      <c r="B528" s="1"/>
      <c r="C528" s="4"/>
      <c r="D528" s="4"/>
      <c r="E528" s="4"/>
      <c r="F528" s="1"/>
      <c r="G528" s="1"/>
      <c r="H528" s="1"/>
    </row>
    <row r="529" s="2" customFormat="1" ht="7.5" customHeight="1">
      <c r="H529" s="13"/>
    </row>
    <row r="530" s="2" customFormat="1" ht="7.5" customHeight="1">
      <c r="H530" s="13"/>
    </row>
    <row r="531" s="2" customFormat="1" ht="7.5" customHeight="1">
      <c r="H531" s="13"/>
    </row>
    <row r="532" s="2" customFormat="1" ht="7.5" customHeight="1">
      <c r="H532" s="13"/>
    </row>
    <row r="533" s="2" customFormat="1" ht="7.5" customHeight="1">
      <c r="H533" s="13"/>
    </row>
    <row r="534" s="2" customFormat="1" ht="7.5" customHeight="1">
      <c r="H534" s="13"/>
    </row>
    <row r="535" s="2" customFormat="1" ht="7.5" customHeight="1">
      <c r="H535" s="13"/>
    </row>
    <row r="536" s="2" customFormat="1" ht="7.5" customHeight="1">
      <c r="H536" s="13"/>
    </row>
    <row r="537" s="2" customFormat="1" ht="7.5" customHeight="1">
      <c r="H537" s="13"/>
    </row>
    <row r="538" s="2" customFormat="1" ht="17.25" customHeight="1">
      <c r="H538" s="13"/>
    </row>
    <row r="539" s="2" customFormat="1" ht="7.5" customHeight="1">
      <c r="H539" s="13"/>
    </row>
    <row r="540" s="2" customFormat="1" ht="7.5" customHeight="1">
      <c r="H540" s="13"/>
    </row>
    <row r="541" s="2" customFormat="1" ht="7.5" customHeight="1">
      <c r="H541" s="13"/>
    </row>
    <row r="542" s="2" customFormat="1" ht="7.5" customHeight="1">
      <c r="H542" s="13"/>
    </row>
    <row r="543" s="2" customFormat="1" ht="7.5" customHeight="1">
      <c r="H543" s="13"/>
    </row>
    <row r="544" s="2" customFormat="1" ht="7.5" customHeight="1">
      <c r="H544" s="13"/>
    </row>
    <row r="545" s="2" customFormat="1" ht="7.5" customHeight="1">
      <c r="H545" s="13"/>
    </row>
    <row r="546" s="2" customFormat="1" ht="7.5" customHeight="1">
      <c r="H546" s="13"/>
    </row>
    <row r="547" s="2" customFormat="1" ht="7.5" customHeight="1">
      <c r="H547" s="13"/>
    </row>
    <row r="548" s="2" customFormat="1" ht="7.5" customHeight="1">
      <c r="H548" s="13"/>
    </row>
    <row r="549" s="2" customFormat="1" ht="7.5" customHeight="1">
      <c r="H549" s="13"/>
    </row>
    <row r="550" s="2" customFormat="1" ht="7.5" customHeight="1">
      <c r="H550" s="13"/>
    </row>
    <row r="551" s="2" customFormat="1" ht="7.5" customHeight="1">
      <c r="H551" s="13"/>
    </row>
    <row r="552" s="2" customFormat="1" ht="7.5" customHeight="1">
      <c r="H552" s="13"/>
    </row>
    <row r="553" s="2" customFormat="1" ht="7.5" customHeight="1">
      <c r="H553" s="13"/>
    </row>
    <row r="554" s="2" customFormat="1" ht="7.5" customHeight="1">
      <c r="H554" s="13"/>
    </row>
    <row r="555" s="2" customFormat="1" ht="7.5" customHeight="1">
      <c r="H555" s="13"/>
    </row>
    <row r="556" s="2" customFormat="1" ht="7.5" customHeight="1">
      <c r="H556" s="13"/>
    </row>
    <row r="557" s="2" customFormat="1" ht="7.5" customHeight="1">
      <c r="H557" s="13"/>
    </row>
    <row r="558" s="2" customFormat="1" ht="7.5" customHeight="1">
      <c r="H558" s="13"/>
    </row>
    <row r="559" s="2" customFormat="1" ht="7.5" customHeight="1">
      <c r="H559" s="13"/>
    </row>
    <row r="560" s="2" customFormat="1" ht="7.5" customHeight="1">
      <c r="H560" s="13"/>
    </row>
    <row r="561" s="2" customFormat="1" ht="7.5" customHeight="1">
      <c r="H561" s="13"/>
    </row>
    <row r="562" s="2" customFormat="1" ht="7.5" customHeight="1">
      <c r="H562" s="13"/>
    </row>
    <row r="563" s="2" customFormat="1" ht="7.5" customHeight="1">
      <c r="H563" s="13"/>
    </row>
    <row r="564" s="2" customFormat="1" ht="7.5" customHeight="1">
      <c r="H564" s="13"/>
    </row>
    <row r="565" s="2" customFormat="1" ht="7.5" customHeight="1">
      <c r="H565" s="13"/>
    </row>
    <row r="566" s="2" customFormat="1" ht="7.5" customHeight="1">
      <c r="H566" s="13"/>
    </row>
    <row r="567" s="2" customFormat="1" ht="7.5" customHeight="1">
      <c r="H567" s="13"/>
    </row>
    <row r="568" s="2" customFormat="1" ht="7.5" customHeight="1">
      <c r="H568" s="13"/>
    </row>
    <row r="569" s="2" customFormat="1" ht="7.5" customHeight="1">
      <c r="H569" s="13"/>
    </row>
    <row r="570" s="2" customFormat="1" ht="7.5" customHeight="1">
      <c r="H570" s="13"/>
    </row>
    <row r="571" s="2" customFormat="1" ht="7.5" customHeight="1">
      <c r="H571" s="13"/>
    </row>
    <row r="572" s="2" customFormat="1" ht="7.5" customHeight="1">
      <c r="H572" s="13"/>
    </row>
    <row r="573" s="2" customFormat="1" ht="7.5" customHeight="1">
      <c r="H573" s="13"/>
    </row>
    <row r="574" s="2" customFormat="1" ht="7.5" customHeight="1">
      <c r="H574" s="13"/>
    </row>
    <row r="575" s="2" customFormat="1" ht="7.5" customHeight="1">
      <c r="H575" s="13"/>
    </row>
    <row r="576" s="2" customFormat="1" ht="7.5" customHeight="1">
      <c r="H576" s="13"/>
    </row>
    <row r="577" s="2" customFormat="1" ht="7.5" customHeight="1">
      <c r="H577" s="13"/>
    </row>
    <row r="578" s="2" customFormat="1" ht="7.5" customHeight="1">
      <c r="H578" s="13"/>
    </row>
    <row r="579" s="2" customFormat="1" ht="7.5" customHeight="1">
      <c r="H579" s="13"/>
    </row>
    <row r="580" s="2" customFormat="1" ht="7.5" customHeight="1">
      <c r="H580" s="13"/>
    </row>
    <row r="581" s="2" customFormat="1" ht="7.5" customHeight="1">
      <c r="H581" s="13"/>
    </row>
    <row r="582" s="2" customFormat="1" ht="7.5" customHeight="1">
      <c r="H582" s="13"/>
    </row>
    <row r="583" s="2" customFormat="1" ht="7.5" customHeight="1">
      <c r="H583" s="13"/>
    </row>
    <row r="584" s="2" customFormat="1" ht="7.5" customHeight="1">
      <c r="H584" s="13"/>
    </row>
    <row r="585" s="2" customFormat="1" ht="7.5" customHeight="1">
      <c r="H585" s="13"/>
    </row>
    <row r="586" s="2" customFormat="1" ht="7.5" customHeight="1">
      <c r="H586" s="13"/>
    </row>
    <row r="587" s="2" customFormat="1" ht="9.75" customHeight="1">
      <c r="H587" s="13"/>
    </row>
    <row r="588" s="2" customFormat="1" ht="10.5" customHeight="1">
      <c r="H588" s="13"/>
    </row>
    <row r="589" s="2" customFormat="1" ht="9" customHeight="1">
      <c r="H589" s="13"/>
    </row>
    <row r="590" s="2" customFormat="1" ht="9" customHeight="1">
      <c r="H590" s="13"/>
    </row>
    <row r="591" s="2" customFormat="1" ht="11.25" customHeight="1">
      <c r="H591" s="13"/>
    </row>
    <row r="592" s="2" customFormat="1" ht="10.5" customHeight="1">
      <c r="H592" s="13"/>
    </row>
    <row r="593" s="2" customFormat="1" ht="13.5" customHeight="1">
      <c r="H593" s="13"/>
    </row>
    <row r="594" s="2" customFormat="1" ht="14.25" customHeight="1">
      <c r="H594" s="13"/>
    </row>
    <row r="595" s="2" customFormat="1" ht="9.75" customHeight="1">
      <c r="H595" s="13"/>
    </row>
    <row r="596" s="2" customFormat="1" ht="9" customHeight="1">
      <c r="H596" s="13"/>
    </row>
    <row r="597" s="2" customFormat="1" ht="9" customHeight="1">
      <c r="H597" s="13"/>
    </row>
    <row r="598" s="2" customFormat="1" ht="9.75" customHeight="1">
      <c r="H598" s="13"/>
    </row>
    <row r="599" s="2" customFormat="1" ht="10.5" customHeight="1">
      <c r="H599" s="13"/>
    </row>
    <row r="600" s="2" customFormat="1" ht="9.75" customHeight="1">
      <c r="H600" s="13"/>
    </row>
    <row r="601" s="2" customFormat="1" ht="9" customHeight="1">
      <c r="H601" s="13"/>
    </row>
    <row r="602" s="2" customFormat="1" ht="9" customHeight="1">
      <c r="H602" s="13"/>
    </row>
    <row r="603" s="2" customFormat="1" ht="9" customHeight="1">
      <c r="H603" s="13"/>
    </row>
    <row r="604" s="2" customFormat="1" ht="11.25" customHeight="1">
      <c r="H604" s="13"/>
    </row>
    <row r="605" s="2" customFormat="1" ht="9.75" customHeight="1">
      <c r="H605" s="13"/>
    </row>
    <row r="606" s="2" customFormat="1" ht="10.5" customHeight="1">
      <c r="H606" s="13"/>
    </row>
    <row r="607" s="2" customFormat="1" ht="11.25" customHeight="1">
      <c r="H607" s="13"/>
    </row>
    <row r="608" s="2" customFormat="1" ht="9.75" customHeight="1">
      <c r="H608" s="13"/>
    </row>
    <row r="609" s="2" customFormat="1" ht="10.5" customHeight="1">
      <c r="H609" s="13"/>
    </row>
    <row r="610" s="2" customFormat="1" ht="11.25" customHeight="1">
      <c r="H610" s="13"/>
    </row>
    <row r="611" s="2" customFormat="1" ht="7.5" customHeight="1">
      <c r="H611" s="13"/>
    </row>
    <row r="612" s="2" customFormat="1" ht="7.5" customHeight="1">
      <c r="H612" s="13"/>
    </row>
    <row r="613" s="2" customFormat="1" ht="7.5" customHeight="1">
      <c r="H613" s="13"/>
    </row>
    <row r="614" s="2" customFormat="1" ht="7.5" customHeight="1">
      <c r="H614" s="13"/>
    </row>
    <row r="615" s="2" customFormat="1" ht="7.5" customHeight="1">
      <c r="H615" s="13"/>
    </row>
    <row r="616" s="2" customFormat="1" ht="7.5" customHeight="1">
      <c r="H616" s="13"/>
    </row>
    <row r="617" s="2" customFormat="1" ht="7.5" customHeight="1">
      <c r="H617" s="13"/>
    </row>
    <row r="618" s="2" customFormat="1" ht="7.5" customHeight="1">
      <c r="H618" s="13"/>
    </row>
    <row r="619" s="2" customFormat="1" ht="7.5" customHeight="1">
      <c r="H619" s="13"/>
    </row>
    <row r="620" s="2" customFormat="1" ht="7.5" customHeight="1">
      <c r="H620" s="13"/>
    </row>
    <row r="621" s="2" customFormat="1" ht="7.5" customHeight="1">
      <c r="H621" s="13"/>
    </row>
    <row r="622" s="2" customFormat="1" ht="7.5" customHeight="1">
      <c r="H622" s="13"/>
    </row>
    <row r="623" s="2" customFormat="1" ht="7.5" customHeight="1">
      <c r="H623" s="13"/>
    </row>
    <row r="624" s="2" customFormat="1" ht="7.5" customHeight="1">
      <c r="H624" s="13"/>
    </row>
    <row r="625" s="2" customFormat="1" ht="7.5" customHeight="1">
      <c r="H625" s="13"/>
    </row>
    <row r="626" s="2" customFormat="1" ht="7.5" customHeight="1">
      <c r="H626" s="13"/>
    </row>
    <row r="627" s="2" customFormat="1" ht="7.5" customHeight="1">
      <c r="H627" s="13"/>
    </row>
    <row r="628" s="2" customFormat="1" ht="7.5" customHeight="1">
      <c r="H628" s="13"/>
    </row>
    <row r="629" s="2" customFormat="1" ht="7.5" customHeight="1">
      <c r="H629" s="13"/>
    </row>
    <row r="630" s="2" customFormat="1" ht="7.5" customHeight="1">
      <c r="H630" s="13"/>
    </row>
    <row r="631" s="2" customFormat="1" ht="7.5" customHeight="1">
      <c r="H631" s="13"/>
    </row>
    <row r="632" s="2" customFormat="1" ht="7.5" customHeight="1">
      <c r="H632" s="13"/>
    </row>
    <row r="633" s="2" customFormat="1" ht="7.5" customHeight="1">
      <c r="H633" s="13"/>
    </row>
    <row r="634" s="2" customFormat="1" ht="7.5" customHeight="1">
      <c r="H634" s="13"/>
    </row>
    <row r="635" s="2" customFormat="1" ht="7.5" customHeight="1">
      <c r="H635" s="13"/>
    </row>
    <row r="636" s="2" customFormat="1" ht="7.5" customHeight="1">
      <c r="H636" s="13"/>
    </row>
    <row r="637" s="2" customFormat="1" ht="7.5" customHeight="1">
      <c r="H637" s="13"/>
    </row>
    <row r="638" s="2" customFormat="1" ht="7.5" customHeight="1">
      <c r="H638" s="13"/>
    </row>
    <row r="639" s="2" customFormat="1" ht="7.5" customHeight="1">
      <c r="H639" s="13"/>
    </row>
    <row r="640" s="2" customFormat="1" ht="7.5" customHeight="1">
      <c r="H640" s="13"/>
    </row>
    <row r="641" s="2" customFormat="1" ht="7.5" customHeight="1">
      <c r="H641" s="13"/>
    </row>
    <row r="642" s="2" customFormat="1" ht="7.5" customHeight="1">
      <c r="H642" s="13"/>
    </row>
    <row r="643" s="2" customFormat="1" ht="7.5" customHeight="1">
      <c r="H643" s="13"/>
    </row>
    <row r="644" s="2" customFormat="1" ht="7.5" customHeight="1">
      <c r="H644" s="13"/>
    </row>
    <row r="645" s="2" customFormat="1" ht="7.5" customHeight="1">
      <c r="H645" s="13"/>
    </row>
    <row r="646" s="2" customFormat="1" ht="7.5" customHeight="1">
      <c r="H646" s="13"/>
    </row>
    <row r="647" s="2" customFormat="1" ht="7.5" customHeight="1">
      <c r="H647" s="13"/>
    </row>
    <row r="648" s="2" customFormat="1" ht="7.5" customHeight="1">
      <c r="H648" s="13"/>
    </row>
    <row r="649" s="2" customFormat="1" ht="7.5" customHeight="1">
      <c r="H649" s="13"/>
    </row>
    <row r="650" s="2" customFormat="1" ht="7.5" customHeight="1">
      <c r="H650" s="13"/>
    </row>
    <row r="651" s="2" customFormat="1" ht="7.5" customHeight="1">
      <c r="H651" s="13"/>
    </row>
    <row r="652" s="2" customFormat="1" ht="7.5" customHeight="1">
      <c r="H652" s="13"/>
    </row>
    <row r="653" s="2" customFormat="1" ht="7.5" customHeight="1">
      <c r="H653" s="13"/>
    </row>
    <row r="654" s="2" customFormat="1" ht="7.5" customHeight="1">
      <c r="H654" s="13"/>
    </row>
    <row r="655" s="2" customFormat="1" ht="7.5" customHeight="1">
      <c r="H655" s="13"/>
    </row>
    <row r="656" s="2" customFormat="1" ht="7.5" customHeight="1">
      <c r="H656" s="13"/>
    </row>
    <row r="657" s="2" customFormat="1" ht="7.5" customHeight="1">
      <c r="H657" s="13"/>
    </row>
    <row r="658" s="2" customFormat="1" ht="7.5" customHeight="1">
      <c r="H658" s="13"/>
    </row>
    <row r="659" s="2" customFormat="1" ht="7.5" customHeight="1">
      <c r="H659" s="13"/>
    </row>
    <row r="660" s="2" customFormat="1" ht="7.5" customHeight="1">
      <c r="H660" s="13"/>
    </row>
    <row r="661" s="2" customFormat="1" ht="7.5" customHeight="1">
      <c r="H661" s="13"/>
    </row>
    <row r="662" s="2" customFormat="1" ht="7.5" customHeight="1">
      <c r="H662" s="13"/>
    </row>
    <row r="663" s="2" customFormat="1" ht="7.5" customHeight="1">
      <c r="H663" s="13"/>
    </row>
    <row r="664" s="2" customFormat="1" ht="7.5" customHeight="1">
      <c r="H664" s="13"/>
    </row>
    <row r="665" s="2" customFormat="1" ht="11.25" customHeight="1">
      <c r="H665" s="13"/>
    </row>
    <row r="666" s="2" customFormat="1" ht="11.25" customHeight="1">
      <c r="H666" s="13"/>
    </row>
    <row r="667" s="2" customFormat="1" ht="7.5" customHeight="1">
      <c r="H667" s="13"/>
    </row>
    <row r="668" s="2" customFormat="1" ht="7.5" customHeight="1">
      <c r="H668" s="13"/>
    </row>
    <row r="669" s="2" customFormat="1" ht="7.5" customHeight="1">
      <c r="H669" s="13"/>
    </row>
    <row r="670" s="2" customFormat="1" ht="7.5" customHeight="1">
      <c r="H670" s="13"/>
    </row>
    <row r="671" s="2" customFormat="1" ht="7.5" customHeight="1">
      <c r="H671" s="13"/>
    </row>
    <row r="672" s="2" customFormat="1" ht="7.5" customHeight="1">
      <c r="H672" s="13"/>
    </row>
    <row r="673" s="2" customFormat="1" ht="7.5" customHeight="1">
      <c r="H673" s="13"/>
    </row>
    <row r="674" s="2" customFormat="1" ht="7.5" customHeight="1">
      <c r="H674" s="13"/>
    </row>
    <row r="675" s="2" customFormat="1" ht="7.5" customHeight="1">
      <c r="H675" s="13"/>
    </row>
    <row r="676" s="2" customFormat="1" ht="7.5" customHeight="1">
      <c r="H676" s="13"/>
    </row>
    <row r="677" s="2" customFormat="1" ht="7.5" customHeight="1">
      <c r="H677" s="13"/>
    </row>
    <row r="678" s="2" customFormat="1" ht="7.5" customHeight="1">
      <c r="H678" s="13"/>
    </row>
    <row r="679" s="2" customFormat="1" ht="9" customHeight="1">
      <c r="H679" s="13"/>
    </row>
    <row r="680" s="2" customFormat="1" ht="9" customHeight="1">
      <c r="H680" s="13"/>
    </row>
    <row r="681" s="2" customFormat="1" ht="9" customHeight="1">
      <c r="H681" s="13"/>
    </row>
    <row r="682" s="2" customFormat="1" ht="9.75" customHeight="1">
      <c r="H682" s="13"/>
    </row>
    <row r="683" s="2" customFormat="1" ht="7.5" customHeight="1">
      <c r="H683" s="13"/>
    </row>
    <row r="684" s="2" customFormat="1" ht="7.5" customHeight="1">
      <c r="H684" s="13"/>
    </row>
    <row r="685" s="2" customFormat="1" ht="7.5" customHeight="1">
      <c r="H685" s="13"/>
    </row>
    <row r="686" s="2" customFormat="1" ht="7.5" customHeight="1">
      <c r="H686" s="13"/>
    </row>
    <row r="687" s="2" customFormat="1" ht="7.5" customHeight="1">
      <c r="H687" s="13"/>
    </row>
    <row r="688" s="2" customFormat="1" ht="7.5" customHeight="1">
      <c r="H688" s="13"/>
    </row>
    <row r="689" s="2" customFormat="1" ht="7.5" customHeight="1">
      <c r="H689" s="13"/>
    </row>
    <row r="690" s="2" customFormat="1" ht="7.5" customHeight="1">
      <c r="H690" s="13"/>
    </row>
    <row r="691" s="2" customFormat="1" ht="7.5" customHeight="1">
      <c r="H691" s="13"/>
    </row>
    <row r="692" s="2" customFormat="1" ht="7.5" customHeight="1">
      <c r="H692" s="13"/>
    </row>
    <row r="693" s="2" customFormat="1" ht="7.5" customHeight="1">
      <c r="H693" s="13"/>
    </row>
    <row r="694" s="2" customFormat="1" ht="7.5" customHeight="1">
      <c r="H694" s="13"/>
    </row>
    <row r="695" s="2" customFormat="1" ht="7.5" customHeight="1">
      <c r="H695" s="13"/>
    </row>
    <row r="696" s="2" customFormat="1" ht="7.5" customHeight="1">
      <c r="H696" s="13"/>
    </row>
    <row r="697" s="2" customFormat="1" ht="9.75" customHeight="1">
      <c r="H697" s="13"/>
    </row>
    <row r="698" s="2" customFormat="1" ht="9.75" customHeight="1">
      <c r="H698" s="13"/>
    </row>
    <row r="699" s="2" customFormat="1" ht="7.5" customHeight="1">
      <c r="H699" s="13"/>
    </row>
    <row r="700" s="2" customFormat="1" ht="7.5" customHeight="1">
      <c r="H700" s="13"/>
    </row>
    <row r="701" s="2" customFormat="1" ht="7.5" customHeight="1">
      <c r="H701" s="13"/>
    </row>
    <row r="702" s="2" customFormat="1" ht="7.5" customHeight="1">
      <c r="H702" s="13"/>
    </row>
    <row r="703" s="2" customFormat="1" ht="7.5" customHeight="1">
      <c r="H703" s="13"/>
    </row>
    <row r="704" s="2" customFormat="1" ht="7.5" customHeight="1">
      <c r="H704" s="13"/>
    </row>
    <row r="705" s="2" customFormat="1" ht="7.5" customHeight="1">
      <c r="H705" s="13"/>
    </row>
    <row r="706" s="2" customFormat="1" ht="7.5" customHeight="1">
      <c r="H706" s="13"/>
    </row>
    <row r="707" s="2" customFormat="1" ht="7.5" customHeight="1">
      <c r="H707" s="13"/>
    </row>
    <row r="708" s="2" customFormat="1" ht="7.5" customHeight="1">
      <c r="H708" s="13"/>
    </row>
    <row r="709" s="2" customFormat="1" ht="7.5" customHeight="1">
      <c r="H709" s="13"/>
    </row>
    <row r="710" s="2" customFormat="1" ht="7.5" customHeight="1">
      <c r="H710" s="13"/>
    </row>
    <row r="711" s="2" customFormat="1" ht="7.5" customHeight="1">
      <c r="H711" s="13"/>
    </row>
    <row r="712" s="2" customFormat="1" ht="7.5" customHeight="1">
      <c r="H712" s="13"/>
    </row>
    <row r="713" s="2" customFormat="1" ht="7.5" customHeight="1">
      <c r="H713" s="13"/>
    </row>
    <row r="714" s="2" customFormat="1" ht="7.5" customHeight="1">
      <c r="H714" s="13"/>
    </row>
    <row r="715" s="2" customFormat="1" ht="7.5" customHeight="1">
      <c r="H715" s="13"/>
    </row>
    <row r="716" s="2" customFormat="1" ht="7.5" customHeight="1">
      <c r="H716" s="13"/>
    </row>
    <row r="717" s="2" customFormat="1" ht="7.5" customHeight="1">
      <c r="H717" s="13"/>
    </row>
    <row r="718" s="2" customFormat="1" ht="7.5" customHeight="1">
      <c r="H718" s="13"/>
    </row>
    <row r="719" s="2" customFormat="1" ht="7.5" customHeight="1">
      <c r="H719" s="13"/>
    </row>
    <row r="720" s="2" customFormat="1" ht="7.5" customHeight="1">
      <c r="H720" s="13"/>
    </row>
    <row r="721" s="2" customFormat="1" ht="7.5" customHeight="1">
      <c r="H721" s="13"/>
    </row>
    <row r="722" s="2" customFormat="1" ht="7.5" customHeight="1">
      <c r="H722" s="13"/>
    </row>
    <row r="723" s="2" customFormat="1" ht="7.5" customHeight="1">
      <c r="H723" s="13"/>
    </row>
    <row r="724" s="2" customFormat="1" ht="7.5" customHeight="1">
      <c r="H724" s="13"/>
    </row>
    <row r="725" s="2" customFormat="1" ht="7.5" customHeight="1">
      <c r="H725" s="13"/>
    </row>
    <row r="726" s="2" customFormat="1" ht="7.5" customHeight="1">
      <c r="H726" s="13"/>
    </row>
    <row r="727" s="2" customFormat="1" ht="7.5" customHeight="1">
      <c r="H727" s="13"/>
    </row>
    <row r="728" s="2" customFormat="1" ht="7.5" customHeight="1">
      <c r="H728" s="13"/>
    </row>
    <row r="729" s="2" customFormat="1" ht="7.5" customHeight="1">
      <c r="H729" s="13"/>
    </row>
    <row r="730" s="2" customFormat="1" ht="7.5" customHeight="1">
      <c r="H730" s="13"/>
    </row>
    <row r="731" s="2" customFormat="1" ht="7.5" customHeight="1">
      <c r="H731" s="13"/>
    </row>
    <row r="732" s="2" customFormat="1" ht="7.5" customHeight="1">
      <c r="H732" s="13"/>
    </row>
    <row r="733" s="2" customFormat="1" ht="7.5" customHeight="1">
      <c r="H733" s="13"/>
    </row>
    <row r="734" s="2" customFormat="1" ht="7.5" customHeight="1">
      <c r="H734" s="13"/>
    </row>
    <row r="735" s="2" customFormat="1" ht="7.5" customHeight="1">
      <c r="H735" s="13"/>
    </row>
    <row r="736" s="2" customFormat="1" ht="7.5" customHeight="1">
      <c r="H736" s="13"/>
    </row>
    <row r="737" s="2" customFormat="1" ht="7.5" customHeight="1">
      <c r="H737" s="13"/>
    </row>
    <row r="738" s="2" customFormat="1" ht="7.5" customHeight="1">
      <c r="H738" s="13"/>
    </row>
    <row r="739" s="2" customFormat="1" ht="7.5" customHeight="1">
      <c r="H739" s="13"/>
    </row>
    <row r="740" s="2" customFormat="1" ht="7.5" customHeight="1">
      <c r="H740" s="13"/>
    </row>
    <row r="741" s="2" customFormat="1" ht="7.5" customHeight="1">
      <c r="H741" s="13"/>
    </row>
    <row r="742" s="2" customFormat="1" ht="7.5" customHeight="1">
      <c r="H742" s="13"/>
    </row>
    <row r="743" s="2" customFormat="1" ht="7.5" customHeight="1">
      <c r="H743" s="13"/>
    </row>
    <row r="744" s="2" customFormat="1" ht="7.5" customHeight="1">
      <c r="H744" s="13"/>
    </row>
    <row r="745" s="2" customFormat="1" ht="7.5" customHeight="1">
      <c r="H745" s="13"/>
    </row>
    <row r="746" s="2" customFormat="1" ht="8.25" customHeight="1">
      <c r="H746" s="13"/>
    </row>
    <row r="747" s="2" customFormat="1" ht="12.75">
      <c r="H747" s="13"/>
    </row>
    <row r="748" s="2" customFormat="1" ht="12.75">
      <c r="H748" s="13"/>
    </row>
    <row r="749" s="2" customFormat="1" ht="12.75">
      <c r="H749" s="13"/>
    </row>
    <row r="750" s="2" customFormat="1" ht="9.75" customHeight="1">
      <c r="H750" s="13"/>
    </row>
    <row r="751" s="2" customFormat="1" ht="7.5" customHeight="1">
      <c r="H751" s="13"/>
    </row>
    <row r="752" s="2" customFormat="1" ht="9" customHeight="1">
      <c r="H752" s="13"/>
    </row>
    <row r="753" s="2" customFormat="1" ht="10.5" customHeight="1">
      <c r="H753" s="13"/>
    </row>
    <row r="754" s="2" customFormat="1" ht="11.25" customHeight="1">
      <c r="H754" s="13"/>
    </row>
    <row r="755" s="2" customFormat="1" ht="7.5" customHeight="1">
      <c r="H755" s="13"/>
    </row>
    <row r="756" s="2" customFormat="1" ht="7.5" customHeight="1">
      <c r="H756" s="13"/>
    </row>
    <row r="757" s="2" customFormat="1" ht="8.25" customHeight="1">
      <c r="H757" s="13"/>
    </row>
    <row r="758" s="2" customFormat="1" ht="12" customHeight="1">
      <c r="H758" s="13"/>
    </row>
    <row r="759" s="2" customFormat="1" ht="7.5" customHeight="1">
      <c r="H759" s="13"/>
    </row>
    <row r="760" s="2" customFormat="1" ht="7.5" customHeight="1">
      <c r="H760" s="13"/>
    </row>
    <row r="761" s="2" customFormat="1" ht="9" customHeight="1">
      <c r="H761" s="13"/>
    </row>
    <row r="762" s="2" customFormat="1" ht="10.5" customHeight="1">
      <c r="H762" s="13"/>
    </row>
    <row r="763" s="2" customFormat="1" ht="12.75">
      <c r="H763" s="13"/>
    </row>
    <row r="764" s="2" customFormat="1" ht="12.75">
      <c r="H764" s="13"/>
    </row>
    <row r="765" s="2" customFormat="1" ht="12.75">
      <c r="H765" s="13"/>
    </row>
    <row r="766" s="2" customFormat="1" ht="12.75">
      <c r="H766" s="13"/>
    </row>
    <row r="767" s="2" customFormat="1" ht="12.75">
      <c r="H767" s="13"/>
    </row>
    <row r="768" s="2" customFormat="1" ht="12.75">
      <c r="H768" s="13"/>
    </row>
    <row r="769" s="2" customFormat="1" ht="12.75">
      <c r="H769" s="13"/>
    </row>
    <row r="770" s="2" customFormat="1" ht="12.75">
      <c r="H770" s="13"/>
    </row>
    <row r="771" s="2" customFormat="1" ht="12.75">
      <c r="H771" s="13"/>
    </row>
    <row r="772" s="2" customFormat="1" ht="12.75">
      <c r="H772" s="13"/>
    </row>
    <row r="773" s="2" customFormat="1" ht="12.75">
      <c r="H773" s="13"/>
    </row>
    <row r="774" s="2" customFormat="1" ht="12.75">
      <c r="H774" s="13"/>
    </row>
    <row r="775" s="2" customFormat="1" ht="12.75">
      <c r="H775" s="13"/>
    </row>
    <row r="776" s="2" customFormat="1" ht="12.75">
      <c r="H776" s="13"/>
    </row>
    <row r="777" s="2" customFormat="1" ht="12.75">
      <c r="H777" s="13"/>
    </row>
    <row r="778" s="2" customFormat="1" ht="12.75">
      <c r="H778" s="13"/>
    </row>
    <row r="779" s="2" customFormat="1" ht="12.75">
      <c r="H779" s="13"/>
    </row>
    <row r="780" s="2" customFormat="1" ht="12.75">
      <c r="H780" s="13"/>
    </row>
    <row r="781" s="2" customFormat="1" ht="12.75">
      <c r="H781" s="13"/>
    </row>
    <row r="782" s="2" customFormat="1" ht="12.75">
      <c r="H782" s="13"/>
    </row>
    <row r="783" s="2" customFormat="1" ht="12.75">
      <c r="H783" s="13"/>
    </row>
    <row r="784" s="2" customFormat="1" ht="12.75">
      <c r="H784" s="13"/>
    </row>
    <row r="785" s="2" customFormat="1" ht="12.75">
      <c r="H785" s="13"/>
    </row>
    <row r="786" s="2" customFormat="1" ht="12.75">
      <c r="H786" s="13"/>
    </row>
    <row r="787" s="2" customFormat="1" ht="12.75">
      <c r="H787" s="13"/>
    </row>
    <row r="788" s="2" customFormat="1" ht="12.75">
      <c r="H788" s="13"/>
    </row>
    <row r="789" s="2" customFormat="1" ht="12.75">
      <c r="H789" s="13"/>
    </row>
    <row r="790" s="2" customFormat="1" ht="12.75">
      <c r="H790" s="13"/>
    </row>
    <row r="791" s="2" customFormat="1" ht="12.75">
      <c r="H791" s="13"/>
    </row>
    <row r="792" s="2" customFormat="1" ht="12.75">
      <c r="H792" s="13"/>
    </row>
    <row r="793" s="2" customFormat="1" ht="12.75">
      <c r="H793" s="13"/>
    </row>
    <row r="794" s="2" customFormat="1" ht="12.75">
      <c r="H794" s="13"/>
    </row>
    <row r="795" s="2" customFormat="1" ht="12.75">
      <c r="H795" s="13"/>
    </row>
    <row r="796" s="2" customFormat="1" ht="12.75">
      <c r="H796" s="13"/>
    </row>
    <row r="797" s="2" customFormat="1" ht="12.75">
      <c r="H797" s="13"/>
    </row>
    <row r="798" s="2" customFormat="1" ht="12.75">
      <c r="H798" s="13"/>
    </row>
    <row r="799" s="2" customFormat="1" ht="12.75">
      <c r="H799" s="13"/>
    </row>
    <row r="800" s="2" customFormat="1" ht="12.75">
      <c r="H800" s="13"/>
    </row>
    <row r="801" s="2" customFormat="1" ht="12.75">
      <c r="H801" s="13"/>
    </row>
    <row r="802" s="2" customFormat="1" ht="12.75">
      <c r="H802" s="13"/>
    </row>
    <row r="803" s="2" customFormat="1" ht="12.75">
      <c r="H803" s="13"/>
    </row>
    <row r="804" s="2" customFormat="1" ht="12.75">
      <c r="H804" s="13"/>
    </row>
    <row r="805" s="2" customFormat="1" ht="12.75">
      <c r="H805" s="13"/>
    </row>
    <row r="806" s="2" customFormat="1" ht="12.75">
      <c r="H806" s="13"/>
    </row>
    <row r="807" s="2" customFormat="1" ht="12.75">
      <c r="H807" s="13"/>
    </row>
    <row r="808" s="2" customFormat="1" ht="12.75">
      <c r="H808" s="13"/>
    </row>
    <row r="809" s="2" customFormat="1" ht="12.75">
      <c r="H809" s="13"/>
    </row>
    <row r="810" s="2" customFormat="1" ht="12.75">
      <c r="H810" s="13"/>
    </row>
    <row r="811" s="2" customFormat="1" ht="12.75">
      <c r="H811" s="13"/>
    </row>
    <row r="812" s="2" customFormat="1" ht="12.75">
      <c r="H812" s="13"/>
    </row>
    <row r="813" s="2" customFormat="1" ht="12.75">
      <c r="H813" s="13"/>
    </row>
    <row r="814" s="2" customFormat="1" ht="12.75">
      <c r="H814" s="13"/>
    </row>
    <row r="815" s="2" customFormat="1" ht="12.75">
      <c r="H815" s="13"/>
    </row>
    <row r="816" s="2" customFormat="1" ht="12.75">
      <c r="H816" s="13"/>
    </row>
    <row r="817" s="2" customFormat="1" ht="12.75">
      <c r="H817" s="13"/>
    </row>
    <row r="818" s="2" customFormat="1" ht="12.75">
      <c r="H818" s="13"/>
    </row>
    <row r="819" s="2" customFormat="1" ht="12.75">
      <c r="H819" s="13"/>
    </row>
    <row r="820" s="2" customFormat="1" ht="12.75">
      <c r="H820" s="13"/>
    </row>
    <row r="821" s="2" customFormat="1" ht="12.75">
      <c r="H821" s="13"/>
    </row>
    <row r="822" s="2" customFormat="1" ht="12.75">
      <c r="H822" s="13"/>
    </row>
    <row r="823" s="2" customFormat="1" ht="12.75">
      <c r="H823" s="13"/>
    </row>
    <row r="824" s="2" customFormat="1" ht="12.75">
      <c r="H824" s="13"/>
    </row>
    <row r="825" s="2" customFormat="1" ht="12.75">
      <c r="H825" s="13"/>
    </row>
    <row r="826" s="2" customFormat="1" ht="12.75">
      <c r="H826" s="13"/>
    </row>
    <row r="827" s="2" customFormat="1" ht="12.75">
      <c r="H827" s="13"/>
    </row>
    <row r="828" s="2" customFormat="1" ht="12.75">
      <c r="H828" s="13"/>
    </row>
    <row r="829" s="2" customFormat="1" ht="12.75">
      <c r="H829" s="13"/>
    </row>
    <row r="830" s="2" customFormat="1" ht="12.75">
      <c r="H830" s="13"/>
    </row>
    <row r="831" s="2" customFormat="1" ht="12.75">
      <c r="H831" s="13"/>
    </row>
    <row r="832" s="2" customFormat="1" ht="12.75">
      <c r="H832" s="13"/>
    </row>
    <row r="833" s="2" customFormat="1" ht="12.75">
      <c r="H833" s="13"/>
    </row>
    <row r="834" s="2" customFormat="1" ht="12.75">
      <c r="H834" s="13"/>
    </row>
    <row r="835" s="2" customFormat="1" ht="12.75">
      <c r="H835" s="13"/>
    </row>
    <row r="836" s="2" customFormat="1" ht="12.75">
      <c r="H836" s="13"/>
    </row>
    <row r="837" s="2" customFormat="1" ht="12.75">
      <c r="H837" s="13"/>
    </row>
    <row r="838" s="2" customFormat="1" ht="12.75">
      <c r="H838" s="13"/>
    </row>
    <row r="839" s="2" customFormat="1" ht="12.75">
      <c r="H839" s="13"/>
    </row>
    <row r="840" s="2" customFormat="1" ht="12.75">
      <c r="H840" s="13"/>
    </row>
    <row r="841" s="2" customFormat="1" ht="12.75">
      <c r="H841" s="13"/>
    </row>
    <row r="842" s="2" customFormat="1" ht="12.75">
      <c r="H842" s="13"/>
    </row>
    <row r="843" s="2" customFormat="1" ht="12.75">
      <c r="H843" s="13"/>
    </row>
    <row r="844" s="2" customFormat="1" ht="12.75">
      <c r="H844" s="13"/>
    </row>
    <row r="845" s="2" customFormat="1" ht="12.75">
      <c r="H845" s="13"/>
    </row>
    <row r="846" s="2" customFormat="1" ht="12.75">
      <c r="H846" s="13"/>
    </row>
    <row r="847" s="2" customFormat="1" ht="12.75">
      <c r="H847" s="13"/>
    </row>
    <row r="848" s="2" customFormat="1" ht="12.75">
      <c r="H848" s="13"/>
    </row>
    <row r="849" s="2" customFormat="1" ht="12.75">
      <c r="H849" s="13"/>
    </row>
    <row r="850" s="2" customFormat="1" ht="12.75">
      <c r="H850" s="13"/>
    </row>
    <row r="851" s="2" customFormat="1" ht="12.75">
      <c r="H851" s="13"/>
    </row>
    <row r="852" s="2" customFormat="1" ht="12.75">
      <c r="H852" s="13"/>
    </row>
    <row r="853" s="2" customFormat="1" ht="12.75">
      <c r="H853" s="13"/>
    </row>
    <row r="854" s="2" customFormat="1" ht="12.75">
      <c r="H854" s="13"/>
    </row>
    <row r="855" s="2" customFormat="1" ht="12.75">
      <c r="H855" s="13"/>
    </row>
    <row r="856" s="2" customFormat="1" ht="12.75">
      <c r="H856" s="13"/>
    </row>
    <row r="857" s="2" customFormat="1" ht="12.75">
      <c r="H857" s="13"/>
    </row>
    <row r="858" s="2" customFormat="1" ht="12.75">
      <c r="H858" s="13"/>
    </row>
    <row r="859" s="2" customFormat="1" ht="12.75">
      <c r="H859" s="13"/>
    </row>
    <row r="860" s="2" customFormat="1" ht="12.75">
      <c r="H860" s="13"/>
    </row>
    <row r="861" s="2" customFormat="1" ht="12.75">
      <c r="H861" s="13"/>
    </row>
    <row r="862" s="2" customFormat="1" ht="12.75">
      <c r="H862" s="13"/>
    </row>
    <row r="863" s="2" customFormat="1" ht="12.75">
      <c r="H863" s="13"/>
    </row>
    <row r="864" s="2" customFormat="1" ht="12.75">
      <c r="H864" s="13"/>
    </row>
    <row r="865" s="2" customFormat="1" ht="12.75">
      <c r="H865" s="13"/>
    </row>
    <row r="866" s="2" customFormat="1" ht="12.75">
      <c r="H866" s="13"/>
    </row>
    <row r="867" s="2" customFormat="1" ht="12.75">
      <c r="H867" s="13"/>
    </row>
    <row r="868" s="2" customFormat="1" ht="12.75">
      <c r="H868" s="13"/>
    </row>
    <row r="869" s="2" customFormat="1" ht="12.75">
      <c r="H869" s="13"/>
    </row>
    <row r="870" s="2" customFormat="1" ht="12.75">
      <c r="H870" s="13"/>
    </row>
    <row r="871" s="2" customFormat="1" ht="12.75">
      <c r="H871" s="13"/>
    </row>
    <row r="872" s="2" customFormat="1" ht="12.75">
      <c r="H872" s="13"/>
    </row>
    <row r="873" s="2" customFormat="1" ht="12.75">
      <c r="H873" s="13"/>
    </row>
    <row r="874" s="2" customFormat="1" ht="12.75">
      <c r="H874" s="13"/>
    </row>
    <row r="875" s="2" customFormat="1" ht="12.75">
      <c r="H875" s="13"/>
    </row>
    <row r="876" s="2" customFormat="1" ht="12.75">
      <c r="H876" s="13"/>
    </row>
    <row r="877" s="2" customFormat="1" ht="12.75">
      <c r="H877" s="13"/>
    </row>
    <row r="878" s="2" customFormat="1" ht="12.75">
      <c r="H878" s="13"/>
    </row>
    <row r="879" s="2" customFormat="1" ht="12.75">
      <c r="H879" s="13"/>
    </row>
    <row r="880" s="2" customFormat="1" ht="12.75">
      <c r="H880" s="13"/>
    </row>
    <row r="881" s="2" customFormat="1" ht="12.75">
      <c r="H881" s="13"/>
    </row>
    <row r="882" s="2" customFormat="1" ht="12.75">
      <c r="H882" s="13"/>
    </row>
    <row r="883" s="2" customFormat="1" ht="12.75">
      <c r="H883" s="13"/>
    </row>
    <row r="884" s="2" customFormat="1" ht="12.75">
      <c r="H884" s="13"/>
    </row>
    <row r="885" s="2" customFormat="1" ht="12.75">
      <c r="H885" s="13"/>
    </row>
    <row r="886" s="2" customFormat="1" ht="12.75">
      <c r="H886" s="13"/>
    </row>
    <row r="887" s="2" customFormat="1" ht="12.75">
      <c r="H887" s="13"/>
    </row>
    <row r="888" s="2" customFormat="1" ht="12.75">
      <c r="H888" s="13"/>
    </row>
    <row r="889" s="2" customFormat="1" ht="12.75">
      <c r="H889" s="13"/>
    </row>
    <row r="890" s="2" customFormat="1" ht="12.75">
      <c r="H890" s="13"/>
    </row>
    <row r="891" s="2" customFormat="1" ht="12.75">
      <c r="H891" s="13"/>
    </row>
    <row r="892" s="2" customFormat="1" ht="12.75">
      <c r="H892" s="13"/>
    </row>
    <row r="893" s="2" customFormat="1" ht="12.75">
      <c r="H893" s="13"/>
    </row>
    <row r="894" s="2" customFormat="1" ht="12.75">
      <c r="H894" s="13"/>
    </row>
    <row r="895" s="2" customFormat="1" ht="12.75">
      <c r="H895" s="13"/>
    </row>
    <row r="896" s="2" customFormat="1" ht="12.75">
      <c r="H896" s="13"/>
    </row>
    <row r="897" s="2" customFormat="1" ht="12.75">
      <c r="H897" s="13"/>
    </row>
    <row r="898" s="2" customFormat="1" ht="12.75">
      <c r="H898" s="13"/>
    </row>
    <row r="899" s="2" customFormat="1" ht="12.75">
      <c r="H899" s="13"/>
    </row>
    <row r="900" s="2" customFormat="1" ht="12.75">
      <c r="H900" s="13"/>
    </row>
    <row r="901" s="2" customFormat="1" ht="12.75">
      <c r="H901" s="13"/>
    </row>
    <row r="902" s="2" customFormat="1" ht="12.75">
      <c r="H902" s="13"/>
    </row>
    <row r="903" s="2" customFormat="1" ht="12.75">
      <c r="H903" s="13"/>
    </row>
    <row r="904" s="2" customFormat="1" ht="12.75">
      <c r="H904" s="13"/>
    </row>
    <row r="905" s="2" customFormat="1" ht="12.75">
      <c r="H905" s="13"/>
    </row>
    <row r="906" s="2" customFormat="1" ht="12.75">
      <c r="H906" s="13"/>
    </row>
    <row r="907" s="2" customFormat="1" ht="12.75">
      <c r="H907" s="13"/>
    </row>
    <row r="908" s="2" customFormat="1" ht="12.75">
      <c r="H908" s="13"/>
    </row>
    <row r="909" s="2" customFormat="1" ht="12.75">
      <c r="H909" s="13"/>
    </row>
    <row r="910" s="2" customFormat="1" ht="12.75">
      <c r="H910" s="13"/>
    </row>
    <row r="911" s="2" customFormat="1" ht="12.75">
      <c r="H911" s="13"/>
    </row>
    <row r="912" s="2" customFormat="1" ht="12.75">
      <c r="H912" s="13"/>
    </row>
    <row r="913" s="2" customFormat="1" ht="12.75">
      <c r="H913" s="13"/>
    </row>
    <row r="914" s="2" customFormat="1" ht="12.75">
      <c r="H914" s="13"/>
    </row>
    <row r="915" s="2" customFormat="1" ht="12.75">
      <c r="H915" s="13"/>
    </row>
    <row r="916" s="2" customFormat="1" ht="12.75">
      <c r="H916" s="13"/>
    </row>
    <row r="917" s="2" customFormat="1" ht="12.75">
      <c r="H917" s="13"/>
    </row>
    <row r="918" s="2" customFormat="1" ht="12.75">
      <c r="H918" s="13"/>
    </row>
    <row r="919" s="2" customFormat="1" ht="12.75">
      <c r="H919" s="13"/>
    </row>
    <row r="920" s="2" customFormat="1" ht="12.75">
      <c r="H920" s="13"/>
    </row>
    <row r="921" s="2" customFormat="1" ht="12.75">
      <c r="H921" s="13"/>
    </row>
    <row r="922" s="2" customFormat="1" ht="12.75">
      <c r="H922" s="13"/>
    </row>
    <row r="923" s="2" customFormat="1" ht="12.75">
      <c r="H923" s="13"/>
    </row>
    <row r="924" s="2" customFormat="1" ht="12.75">
      <c r="H924" s="13"/>
    </row>
    <row r="925" s="2" customFormat="1" ht="12.75">
      <c r="H925" s="13"/>
    </row>
    <row r="926" s="2" customFormat="1" ht="12.75">
      <c r="H926" s="13"/>
    </row>
    <row r="927" s="2" customFormat="1" ht="12.75">
      <c r="H927" s="13"/>
    </row>
    <row r="928" s="2" customFormat="1" ht="12.75">
      <c r="H928" s="13"/>
    </row>
    <row r="929" s="2" customFormat="1" ht="12.75">
      <c r="H929" s="13"/>
    </row>
    <row r="930" s="2" customFormat="1" ht="12.75">
      <c r="H930" s="13"/>
    </row>
    <row r="931" s="2" customFormat="1" ht="12.75">
      <c r="H931" s="13"/>
    </row>
    <row r="932" s="2" customFormat="1" ht="12.75">
      <c r="H932" s="13"/>
    </row>
    <row r="933" s="2" customFormat="1" ht="12.75">
      <c r="H933" s="13"/>
    </row>
    <row r="934" s="2" customFormat="1" ht="12.75">
      <c r="H934" s="13"/>
    </row>
    <row r="935" s="2" customFormat="1" ht="12.75">
      <c r="H935" s="13"/>
    </row>
    <row r="936" s="2" customFormat="1" ht="12.75">
      <c r="H936" s="13"/>
    </row>
    <row r="937" s="2" customFormat="1" ht="12.75">
      <c r="H937" s="13"/>
    </row>
    <row r="938" s="2" customFormat="1" ht="12.75">
      <c r="H938" s="13"/>
    </row>
    <row r="939" s="2" customFormat="1" ht="12.75">
      <c r="H939" s="13"/>
    </row>
    <row r="940" s="2" customFormat="1" ht="12.75">
      <c r="H940" s="13"/>
    </row>
    <row r="941" s="2" customFormat="1" ht="12.75">
      <c r="H941" s="13"/>
    </row>
    <row r="942" s="2" customFormat="1" ht="12.75">
      <c r="H942" s="13"/>
    </row>
    <row r="943" s="2" customFormat="1" ht="12.75">
      <c r="H943" s="13"/>
    </row>
    <row r="944" s="2" customFormat="1" ht="12.75">
      <c r="H944" s="13"/>
    </row>
    <row r="945" s="2" customFormat="1" ht="12.75">
      <c r="H945" s="13"/>
    </row>
    <row r="946" s="2" customFormat="1" ht="12.75">
      <c r="H946" s="13"/>
    </row>
    <row r="947" s="2" customFormat="1" ht="12.75">
      <c r="H947" s="13"/>
    </row>
    <row r="948" s="2" customFormat="1" ht="12.75">
      <c r="H948" s="13"/>
    </row>
    <row r="949" s="2" customFormat="1" ht="12.75">
      <c r="H949" s="13"/>
    </row>
    <row r="950" s="2" customFormat="1" ht="12.75">
      <c r="H950" s="13"/>
    </row>
    <row r="951" s="2" customFormat="1" ht="12.75">
      <c r="H951" s="13"/>
    </row>
    <row r="952" s="2" customFormat="1" ht="12.75">
      <c r="H952" s="13"/>
    </row>
    <row r="953" s="2" customFormat="1" ht="12.75">
      <c r="H953" s="13"/>
    </row>
    <row r="954" s="2" customFormat="1" ht="12.75">
      <c r="H954" s="13"/>
    </row>
    <row r="955" s="2" customFormat="1" ht="12.75">
      <c r="H955" s="13"/>
    </row>
    <row r="956" s="2" customFormat="1" ht="12.75">
      <c r="H956" s="13"/>
    </row>
    <row r="957" s="2" customFormat="1" ht="12.75">
      <c r="H957" s="13"/>
    </row>
    <row r="958" s="2" customFormat="1" ht="12.75">
      <c r="H958" s="13"/>
    </row>
    <row r="959" s="2" customFormat="1" ht="12.75">
      <c r="H959" s="13"/>
    </row>
    <row r="960" s="2" customFormat="1" ht="12.75">
      <c r="H960" s="13"/>
    </row>
    <row r="961" s="2" customFormat="1" ht="12.75">
      <c r="H961" s="13"/>
    </row>
    <row r="962" s="2" customFormat="1" ht="12.75">
      <c r="H962" s="13"/>
    </row>
    <row r="963" s="2" customFormat="1" ht="12.75">
      <c r="H963" s="13"/>
    </row>
    <row r="964" s="2" customFormat="1" ht="12.75">
      <c r="H964" s="13"/>
    </row>
    <row r="965" s="2" customFormat="1" ht="12.75">
      <c r="H965" s="13"/>
    </row>
    <row r="966" s="2" customFormat="1" ht="12.75">
      <c r="H966" s="13"/>
    </row>
    <row r="967" s="2" customFormat="1" ht="12.75">
      <c r="H967" s="13"/>
    </row>
    <row r="968" s="2" customFormat="1" ht="12.75">
      <c r="H968" s="13"/>
    </row>
    <row r="969" s="2" customFormat="1" ht="12.75">
      <c r="H969" s="13"/>
    </row>
    <row r="970" s="2" customFormat="1" ht="12.75">
      <c r="H970" s="13"/>
    </row>
    <row r="971" s="2" customFormat="1" ht="12.75">
      <c r="H971" s="13"/>
    </row>
    <row r="972" s="2" customFormat="1" ht="12.75">
      <c r="H972" s="13"/>
    </row>
    <row r="973" s="2" customFormat="1" ht="12.75">
      <c r="H973" s="13"/>
    </row>
    <row r="974" s="2" customFormat="1" ht="12.75">
      <c r="H974" s="13"/>
    </row>
    <row r="975" s="2" customFormat="1" ht="12.75">
      <c r="H975" s="13"/>
    </row>
    <row r="976" s="2" customFormat="1" ht="12.75">
      <c r="H976" s="13"/>
    </row>
    <row r="977" s="2" customFormat="1" ht="12.75">
      <c r="H977" s="13"/>
    </row>
    <row r="978" s="2" customFormat="1" ht="12.75">
      <c r="H978" s="13"/>
    </row>
    <row r="979" s="2" customFormat="1" ht="12.75">
      <c r="H979" s="13"/>
    </row>
    <row r="980" s="2" customFormat="1" ht="12.75">
      <c r="H980" s="13"/>
    </row>
    <row r="981" s="2" customFormat="1" ht="12.75">
      <c r="H981" s="13"/>
    </row>
    <row r="982" s="2" customFormat="1" ht="12.75">
      <c r="H982" s="13"/>
    </row>
    <row r="983" s="2" customFormat="1" ht="12.75">
      <c r="H983" s="13"/>
    </row>
    <row r="984" s="2" customFormat="1" ht="12.75">
      <c r="H984" s="13"/>
    </row>
    <row r="985" s="2" customFormat="1" ht="12.75">
      <c r="H985" s="13"/>
    </row>
    <row r="986" s="2" customFormat="1" ht="12.75">
      <c r="H986" s="13"/>
    </row>
    <row r="987" s="2" customFormat="1" ht="12.75">
      <c r="H987" s="13"/>
    </row>
    <row r="988" s="2" customFormat="1" ht="12.75">
      <c r="H988" s="13"/>
    </row>
    <row r="989" s="2" customFormat="1" ht="12.75">
      <c r="H989" s="13"/>
    </row>
    <row r="990" s="2" customFormat="1" ht="12.75">
      <c r="H990" s="13"/>
    </row>
    <row r="991" s="2" customFormat="1" ht="12.75">
      <c r="H991" s="13"/>
    </row>
    <row r="992" s="2" customFormat="1" ht="12.75">
      <c r="H992" s="13"/>
    </row>
    <row r="993" s="2" customFormat="1" ht="12.75">
      <c r="H993" s="13"/>
    </row>
    <row r="994" s="2" customFormat="1" ht="12.75">
      <c r="H994" s="13"/>
    </row>
    <row r="995" s="2" customFormat="1" ht="12.75">
      <c r="H995" s="13"/>
    </row>
    <row r="996" s="2" customFormat="1" ht="12.75">
      <c r="H996" s="13"/>
    </row>
    <row r="997" s="2" customFormat="1" ht="12.75">
      <c r="H997" s="13"/>
    </row>
    <row r="998" s="2" customFormat="1" ht="12.75">
      <c r="H998" s="13"/>
    </row>
    <row r="999" s="2" customFormat="1" ht="12.75">
      <c r="H999" s="13"/>
    </row>
    <row r="1000" s="2" customFormat="1" ht="12.75">
      <c r="H1000" s="13"/>
    </row>
    <row r="1001" s="2" customFormat="1" ht="12.75">
      <c r="H1001" s="13"/>
    </row>
    <row r="1002" s="2" customFormat="1" ht="12.75">
      <c r="H1002" s="13"/>
    </row>
    <row r="1003" s="2" customFormat="1" ht="12.75">
      <c r="H1003" s="13"/>
    </row>
    <row r="1004" s="2" customFormat="1" ht="12.75">
      <c r="H1004" s="13"/>
    </row>
    <row r="1005" s="2" customFormat="1" ht="12.75">
      <c r="H1005" s="13"/>
    </row>
    <row r="1006" s="2" customFormat="1" ht="12.75">
      <c r="H1006" s="13"/>
    </row>
    <row r="1007" s="2" customFormat="1" ht="12.75">
      <c r="H1007" s="13"/>
    </row>
    <row r="1008" s="2" customFormat="1" ht="12.75">
      <c r="H1008" s="13"/>
    </row>
    <row r="1009" s="2" customFormat="1" ht="12.75">
      <c r="H1009" s="13"/>
    </row>
    <row r="1010" s="2" customFormat="1" ht="12.75">
      <c r="H1010" s="13"/>
    </row>
    <row r="1011" s="2" customFormat="1" ht="12.75">
      <c r="H1011" s="13"/>
    </row>
    <row r="1012" s="2" customFormat="1" ht="12.75">
      <c r="H1012" s="13"/>
    </row>
    <row r="1013" s="2" customFormat="1" ht="12.75">
      <c r="H1013" s="13"/>
    </row>
    <row r="1014" s="2" customFormat="1" ht="12.75">
      <c r="H1014" s="13"/>
    </row>
    <row r="1015" s="2" customFormat="1" ht="12.75">
      <c r="H1015" s="13"/>
    </row>
    <row r="1016" s="2" customFormat="1" ht="12.75">
      <c r="H1016" s="13"/>
    </row>
    <row r="1017" s="2" customFormat="1" ht="12.75">
      <c r="H1017" s="13"/>
    </row>
    <row r="1018" s="2" customFormat="1" ht="12.75">
      <c r="H1018" s="13"/>
    </row>
    <row r="1019" s="2" customFormat="1" ht="12.75">
      <c r="H1019" s="13"/>
    </row>
    <row r="1020" s="2" customFormat="1" ht="12.75">
      <c r="H1020" s="13"/>
    </row>
    <row r="1021" s="2" customFormat="1" ht="12.75">
      <c r="H1021" s="13"/>
    </row>
    <row r="1022" s="2" customFormat="1" ht="12.75">
      <c r="H1022" s="13"/>
    </row>
    <row r="1023" s="2" customFormat="1" ht="12.75">
      <c r="H1023" s="13"/>
    </row>
    <row r="1024" s="2" customFormat="1" ht="12.75">
      <c r="H1024" s="13"/>
    </row>
    <row r="1025" s="2" customFormat="1" ht="12.75">
      <c r="H1025" s="13"/>
    </row>
    <row r="1026" s="2" customFormat="1" ht="12.75">
      <c r="H1026" s="13"/>
    </row>
    <row r="1027" s="2" customFormat="1" ht="12.75">
      <c r="H1027" s="13"/>
    </row>
    <row r="1028" s="2" customFormat="1" ht="12.75">
      <c r="H1028" s="13"/>
    </row>
    <row r="1029" s="2" customFormat="1" ht="12.75">
      <c r="H1029" s="13"/>
    </row>
    <row r="1030" s="2" customFormat="1" ht="12.75">
      <c r="H1030" s="13"/>
    </row>
    <row r="1031" s="2" customFormat="1" ht="12.75">
      <c r="H1031" s="13"/>
    </row>
    <row r="1032" s="2" customFormat="1" ht="12.75">
      <c r="H1032" s="13"/>
    </row>
    <row r="1033" s="2" customFormat="1" ht="12.75">
      <c r="H1033" s="13"/>
    </row>
    <row r="1034" s="2" customFormat="1" ht="12.75">
      <c r="H1034" s="13"/>
    </row>
    <row r="1035" s="2" customFormat="1" ht="12.75">
      <c r="H1035" s="13"/>
    </row>
    <row r="1036" s="2" customFormat="1" ht="12.75">
      <c r="H1036" s="13"/>
    </row>
    <row r="1037" s="2" customFormat="1" ht="12.75">
      <c r="H1037" s="13"/>
    </row>
    <row r="1038" s="2" customFormat="1" ht="12.75">
      <c r="H1038" s="13"/>
    </row>
    <row r="1039" s="2" customFormat="1" ht="12.75">
      <c r="H1039" s="13"/>
    </row>
    <row r="1040" s="2" customFormat="1" ht="12.75">
      <c r="H1040" s="13"/>
    </row>
    <row r="1041" s="2" customFormat="1" ht="12.75">
      <c r="H1041" s="13"/>
    </row>
    <row r="1042" s="2" customFormat="1" ht="12.75">
      <c r="H1042" s="13"/>
    </row>
    <row r="1043" s="2" customFormat="1" ht="12.75">
      <c r="H1043" s="13"/>
    </row>
    <row r="1044" s="2" customFormat="1" ht="12.75">
      <c r="H1044" s="13"/>
    </row>
    <row r="1045" s="2" customFormat="1" ht="12.75">
      <c r="H1045" s="13"/>
    </row>
    <row r="1046" s="2" customFormat="1" ht="12.75">
      <c r="H1046" s="13"/>
    </row>
    <row r="1047" s="2" customFormat="1" ht="12.75">
      <c r="H1047" s="13"/>
    </row>
    <row r="1048" s="2" customFormat="1" ht="12.75">
      <c r="H1048" s="13"/>
    </row>
    <row r="1049" s="2" customFormat="1" ht="12.75">
      <c r="H1049" s="13"/>
    </row>
    <row r="1050" s="2" customFormat="1" ht="12.75">
      <c r="H1050" s="13"/>
    </row>
    <row r="1051" s="2" customFormat="1" ht="12.75">
      <c r="H1051" s="13"/>
    </row>
    <row r="1052" s="2" customFormat="1" ht="12.75">
      <c r="H1052" s="13"/>
    </row>
    <row r="1053" s="2" customFormat="1" ht="12.75">
      <c r="H1053" s="13"/>
    </row>
    <row r="1054" s="2" customFormat="1" ht="12.75">
      <c r="H1054" s="13"/>
    </row>
    <row r="1055" s="2" customFormat="1" ht="12.75">
      <c r="H1055" s="13"/>
    </row>
    <row r="1056" s="2" customFormat="1" ht="12.75">
      <c r="H1056" s="13"/>
    </row>
    <row r="1057" s="2" customFormat="1" ht="12.75">
      <c r="H1057" s="13"/>
    </row>
    <row r="1058" s="2" customFormat="1" ht="12.75">
      <c r="H1058" s="13"/>
    </row>
    <row r="1059" s="2" customFormat="1" ht="12.75">
      <c r="H1059" s="13"/>
    </row>
    <row r="1060" s="2" customFormat="1" ht="12.75">
      <c r="H1060" s="13"/>
    </row>
    <row r="1061" s="2" customFormat="1" ht="12.75">
      <c r="H1061" s="13"/>
    </row>
    <row r="1062" s="2" customFormat="1" ht="12.75">
      <c r="H1062" s="13"/>
    </row>
    <row r="1063" s="2" customFormat="1" ht="12.75">
      <c r="H1063" s="13"/>
    </row>
    <row r="1064" s="2" customFormat="1" ht="12.75">
      <c r="H1064" s="13"/>
    </row>
    <row r="1065" s="2" customFormat="1" ht="12.75">
      <c r="H1065" s="13"/>
    </row>
    <row r="1066" s="2" customFormat="1" ht="12.75">
      <c r="H1066" s="13"/>
    </row>
    <row r="1067" s="2" customFormat="1" ht="12.75">
      <c r="H1067" s="13"/>
    </row>
    <row r="1068" s="2" customFormat="1" ht="12.75">
      <c r="H1068" s="13"/>
    </row>
    <row r="1069" s="2" customFormat="1" ht="12.75">
      <c r="H1069" s="13"/>
    </row>
    <row r="1070" s="2" customFormat="1" ht="12.75">
      <c r="H1070" s="13"/>
    </row>
    <row r="1071" s="2" customFormat="1" ht="12.75">
      <c r="H1071" s="13"/>
    </row>
    <row r="1072" s="2" customFormat="1" ht="12.75">
      <c r="H1072" s="13"/>
    </row>
    <row r="1073" s="2" customFormat="1" ht="12.75">
      <c r="H1073" s="13"/>
    </row>
    <row r="1074" s="2" customFormat="1" ht="12.75">
      <c r="H1074" s="13"/>
    </row>
    <row r="1075" s="2" customFormat="1" ht="12.75">
      <c r="H1075" s="13"/>
    </row>
    <row r="1076" s="2" customFormat="1" ht="12.75">
      <c r="H1076" s="13"/>
    </row>
    <row r="1077" s="2" customFormat="1" ht="12.75">
      <c r="H1077" s="13"/>
    </row>
    <row r="1078" s="2" customFormat="1" ht="12.75">
      <c r="H1078" s="13"/>
    </row>
    <row r="1079" s="2" customFormat="1" ht="12.75">
      <c r="H1079" s="13"/>
    </row>
    <row r="1080" s="2" customFormat="1" ht="12.75">
      <c r="H1080" s="13"/>
    </row>
    <row r="1081" s="2" customFormat="1" ht="12.75">
      <c r="H1081" s="13"/>
    </row>
    <row r="1082" s="2" customFormat="1" ht="12.75">
      <c r="H1082" s="13"/>
    </row>
    <row r="1083" s="2" customFormat="1" ht="12.75">
      <c r="H1083" s="13"/>
    </row>
    <row r="1084" s="2" customFormat="1" ht="12.75">
      <c r="H1084" s="13"/>
    </row>
    <row r="1085" s="2" customFormat="1" ht="12.75">
      <c r="H1085" s="13"/>
    </row>
    <row r="1086" s="2" customFormat="1" ht="12.75">
      <c r="H1086" s="13"/>
    </row>
    <row r="1087" s="2" customFormat="1" ht="12.75">
      <c r="H1087" s="13"/>
    </row>
    <row r="1088" s="2" customFormat="1" ht="12.75">
      <c r="H1088" s="13"/>
    </row>
    <row r="1089" s="2" customFormat="1" ht="12.75">
      <c r="H1089" s="13"/>
    </row>
    <row r="1090" s="2" customFormat="1" ht="12.75">
      <c r="H1090" s="13"/>
    </row>
    <row r="1091" s="2" customFormat="1" ht="12.75">
      <c r="H1091" s="13"/>
    </row>
    <row r="1092" s="2" customFormat="1" ht="12.75">
      <c r="H1092" s="13"/>
    </row>
    <row r="1093" s="2" customFormat="1" ht="12.75">
      <c r="H1093" s="13"/>
    </row>
    <row r="1094" s="2" customFormat="1" ht="12.75">
      <c r="H1094" s="13"/>
    </row>
    <row r="1095" s="2" customFormat="1" ht="12.75">
      <c r="H1095" s="13"/>
    </row>
    <row r="1096" s="2" customFormat="1" ht="12.75">
      <c r="H1096" s="13"/>
    </row>
    <row r="1097" s="2" customFormat="1" ht="12.75">
      <c r="H1097" s="13"/>
    </row>
    <row r="1098" s="2" customFormat="1" ht="12.75">
      <c r="H1098" s="13"/>
    </row>
    <row r="1099" s="2" customFormat="1" ht="12.75">
      <c r="H1099" s="13"/>
    </row>
    <row r="1100" s="2" customFormat="1" ht="12.75">
      <c r="H1100" s="13"/>
    </row>
    <row r="1101" s="2" customFormat="1" ht="12.75">
      <c r="H1101" s="13"/>
    </row>
    <row r="1102" s="2" customFormat="1" ht="12.75">
      <c r="H1102" s="13"/>
    </row>
    <row r="1103" s="2" customFormat="1" ht="12.75">
      <c r="H1103" s="13"/>
    </row>
    <row r="1104" s="2" customFormat="1" ht="12.75">
      <c r="H1104" s="13"/>
    </row>
    <row r="1105" s="2" customFormat="1" ht="12.75">
      <c r="H1105" s="13"/>
    </row>
    <row r="1106" s="2" customFormat="1" ht="12.75">
      <c r="H1106" s="13"/>
    </row>
    <row r="1107" s="2" customFormat="1" ht="12.75">
      <c r="H1107" s="13"/>
    </row>
    <row r="1108" s="2" customFormat="1" ht="12.75">
      <c r="H1108" s="13"/>
    </row>
    <row r="1109" s="2" customFormat="1" ht="12.75">
      <c r="H1109" s="13"/>
    </row>
    <row r="1110" s="2" customFormat="1" ht="12.75">
      <c r="H1110" s="13"/>
    </row>
    <row r="1111" s="2" customFormat="1" ht="12.75">
      <c r="H1111" s="13"/>
    </row>
    <row r="1112" s="2" customFormat="1" ht="12.75">
      <c r="H1112" s="13"/>
    </row>
    <row r="1113" s="2" customFormat="1" ht="12.75">
      <c r="H1113" s="13"/>
    </row>
    <row r="1114" s="2" customFormat="1" ht="12.75">
      <c r="H1114" s="13"/>
    </row>
    <row r="1115" s="2" customFormat="1" ht="12.75">
      <c r="H1115" s="13"/>
    </row>
    <row r="1116" s="2" customFormat="1" ht="12.75">
      <c r="H1116" s="13"/>
    </row>
    <row r="1117" s="2" customFormat="1" ht="12.75">
      <c r="H1117" s="13"/>
    </row>
    <row r="1118" s="2" customFormat="1" ht="12.75">
      <c r="H1118" s="13"/>
    </row>
    <row r="1119" s="2" customFormat="1" ht="12.75">
      <c r="H1119" s="13"/>
    </row>
    <row r="1120" s="2" customFormat="1" ht="12.75">
      <c r="H1120" s="13"/>
    </row>
    <row r="1121" s="2" customFormat="1" ht="12.75">
      <c r="H1121" s="13"/>
    </row>
    <row r="1122" s="2" customFormat="1" ht="12.75">
      <c r="H1122" s="13"/>
    </row>
    <row r="1123" s="2" customFormat="1" ht="12.75">
      <c r="H1123" s="13"/>
    </row>
    <row r="1124" s="2" customFormat="1" ht="12.75">
      <c r="H1124" s="13"/>
    </row>
    <row r="1125" s="2" customFormat="1" ht="12.75">
      <c r="H1125" s="13"/>
    </row>
    <row r="1126" s="2" customFormat="1" ht="12.75">
      <c r="H1126" s="13"/>
    </row>
    <row r="1127" s="2" customFormat="1" ht="12.75">
      <c r="H1127" s="13"/>
    </row>
    <row r="1128" s="2" customFormat="1" ht="12.75">
      <c r="H1128" s="13"/>
    </row>
    <row r="1129" s="2" customFormat="1" ht="12.75">
      <c r="H1129" s="13"/>
    </row>
    <row r="1130" s="2" customFormat="1" ht="12.75">
      <c r="H1130" s="13"/>
    </row>
    <row r="1131" s="2" customFormat="1" ht="12.75">
      <c r="H1131" s="13"/>
    </row>
    <row r="1132" s="2" customFormat="1" ht="12.75">
      <c r="H1132" s="13"/>
    </row>
    <row r="1133" s="2" customFormat="1" ht="12.75">
      <c r="H1133" s="13"/>
    </row>
    <row r="1134" s="2" customFormat="1" ht="12.75">
      <c r="H1134" s="13"/>
    </row>
    <row r="1135" s="2" customFormat="1" ht="12.75">
      <c r="H1135" s="13"/>
    </row>
    <row r="1136" s="2" customFormat="1" ht="12.75">
      <c r="H1136" s="13"/>
    </row>
    <row r="1137" s="2" customFormat="1" ht="12.75">
      <c r="H1137" s="13"/>
    </row>
    <row r="1138" s="2" customFormat="1" ht="12.75">
      <c r="H1138" s="13"/>
    </row>
    <row r="1139" s="2" customFormat="1" ht="12.75">
      <c r="H1139" s="13"/>
    </row>
    <row r="1140" s="2" customFormat="1" ht="12.75">
      <c r="H1140" s="13"/>
    </row>
    <row r="1141" s="2" customFormat="1" ht="12.75">
      <c r="H1141" s="13"/>
    </row>
    <row r="1142" s="2" customFormat="1" ht="12.75">
      <c r="H1142" s="13"/>
    </row>
    <row r="1143" s="2" customFormat="1" ht="12.75">
      <c r="H1143" s="13"/>
    </row>
    <row r="1144" s="2" customFormat="1" ht="12.75">
      <c r="H1144" s="13"/>
    </row>
    <row r="1145" s="2" customFormat="1" ht="12.75">
      <c r="H1145" s="13"/>
    </row>
    <row r="1146" s="2" customFormat="1" ht="12.75">
      <c r="H1146" s="13"/>
    </row>
    <row r="1147" s="2" customFormat="1" ht="12.75">
      <c r="H1147" s="13"/>
    </row>
    <row r="1148" s="2" customFormat="1" ht="12.75">
      <c r="H1148" s="13"/>
    </row>
    <row r="1149" s="2" customFormat="1" ht="12.75">
      <c r="H1149" s="13"/>
    </row>
    <row r="1150" s="2" customFormat="1" ht="12.75">
      <c r="H1150" s="13"/>
    </row>
    <row r="1151" s="2" customFormat="1" ht="12.75">
      <c r="H1151" s="13"/>
    </row>
    <row r="1152" s="2" customFormat="1" ht="12.75">
      <c r="H1152" s="13"/>
    </row>
    <row r="1153" s="2" customFormat="1" ht="12.75">
      <c r="H1153" s="13"/>
    </row>
    <row r="1154" s="2" customFormat="1" ht="12.75">
      <c r="H1154" s="13"/>
    </row>
    <row r="1155" s="2" customFormat="1" ht="12.75">
      <c r="H1155" s="13"/>
    </row>
    <row r="1156" s="2" customFormat="1" ht="12.75">
      <c r="H1156" s="13"/>
    </row>
    <row r="1157" s="2" customFormat="1" ht="12.75">
      <c r="H1157" s="13"/>
    </row>
    <row r="1158" s="2" customFormat="1" ht="12.75">
      <c r="H1158" s="13"/>
    </row>
    <row r="1159" s="2" customFormat="1" ht="12.75">
      <c r="H1159" s="13"/>
    </row>
    <row r="1160" s="2" customFormat="1" ht="12.75">
      <c r="H1160" s="13"/>
    </row>
    <row r="1161" s="2" customFormat="1" ht="12.75">
      <c r="H1161" s="13"/>
    </row>
    <row r="1162" s="2" customFormat="1" ht="12.75">
      <c r="H1162" s="13"/>
    </row>
    <row r="1163" s="2" customFormat="1" ht="12.75">
      <c r="H1163" s="13"/>
    </row>
    <row r="1164" s="2" customFormat="1" ht="12.75">
      <c r="H1164" s="13"/>
    </row>
    <row r="1165" s="2" customFormat="1" ht="12.75">
      <c r="H1165" s="13"/>
    </row>
    <row r="1166" s="2" customFormat="1" ht="12.75">
      <c r="H1166" s="13"/>
    </row>
    <row r="1167" s="2" customFormat="1" ht="12.75">
      <c r="H1167" s="13"/>
    </row>
    <row r="1168" s="2" customFormat="1" ht="12.75">
      <c r="H1168" s="13"/>
    </row>
    <row r="1169" s="2" customFormat="1" ht="12.75">
      <c r="H1169" s="13"/>
    </row>
    <row r="1170" s="2" customFormat="1" ht="12.75">
      <c r="H1170" s="13"/>
    </row>
    <row r="1171" s="2" customFormat="1" ht="12.75">
      <c r="H1171" s="13"/>
    </row>
    <row r="1172" s="2" customFormat="1" ht="12.75">
      <c r="H1172" s="13"/>
    </row>
    <row r="1173" s="2" customFormat="1" ht="12.75">
      <c r="H1173" s="13"/>
    </row>
    <row r="1174" s="2" customFormat="1" ht="12.75">
      <c r="H1174" s="13"/>
    </row>
    <row r="1175" s="2" customFormat="1" ht="12.75">
      <c r="H1175" s="13"/>
    </row>
    <row r="1176" s="2" customFormat="1" ht="12.75">
      <c r="H1176" s="13"/>
    </row>
    <row r="1177" s="2" customFormat="1" ht="12.75">
      <c r="H1177" s="13"/>
    </row>
    <row r="1178" s="2" customFormat="1" ht="12.75">
      <c r="H1178" s="13"/>
    </row>
    <row r="1179" s="2" customFormat="1" ht="12.75">
      <c r="H1179" s="13"/>
    </row>
    <row r="1180" s="2" customFormat="1" ht="12.75">
      <c r="H1180" s="13"/>
    </row>
    <row r="1181" s="2" customFormat="1" ht="12.75">
      <c r="H1181" s="13"/>
    </row>
    <row r="1182" s="2" customFormat="1" ht="12.75">
      <c r="H1182" s="13"/>
    </row>
    <row r="1183" s="2" customFormat="1" ht="12.75">
      <c r="H1183" s="13"/>
    </row>
    <row r="1184" s="2" customFormat="1" ht="12.75">
      <c r="H1184" s="13"/>
    </row>
    <row r="1185" s="2" customFormat="1" ht="12.75">
      <c r="H1185" s="13"/>
    </row>
    <row r="1186" s="2" customFormat="1" ht="12.75">
      <c r="H1186" s="13"/>
    </row>
    <row r="1187" s="2" customFormat="1" ht="12.75">
      <c r="H1187" s="13"/>
    </row>
    <row r="1188" s="2" customFormat="1" ht="12.75">
      <c r="H1188" s="13"/>
    </row>
    <row r="1189" s="2" customFormat="1" ht="12.75">
      <c r="H1189" s="13"/>
    </row>
    <row r="1190" s="2" customFormat="1" ht="12.75">
      <c r="H1190" s="13"/>
    </row>
    <row r="1191" s="2" customFormat="1" ht="12.75">
      <c r="H1191" s="13"/>
    </row>
    <row r="1192" s="2" customFormat="1" ht="12.75">
      <c r="H1192" s="13"/>
    </row>
    <row r="1193" s="2" customFormat="1" ht="12.75">
      <c r="H1193" s="13"/>
    </row>
    <row r="1194" s="2" customFormat="1" ht="12.75">
      <c r="H1194" s="13"/>
    </row>
    <row r="1195" s="2" customFormat="1" ht="12.75">
      <c r="H1195" s="13"/>
    </row>
    <row r="1196" s="2" customFormat="1" ht="12.75">
      <c r="H1196" s="13"/>
    </row>
    <row r="1197" s="2" customFormat="1" ht="12.75">
      <c r="H1197" s="13"/>
    </row>
    <row r="1198" s="2" customFormat="1" ht="12.75">
      <c r="H1198" s="13"/>
    </row>
    <row r="1199" s="2" customFormat="1" ht="12.75">
      <c r="H1199" s="13"/>
    </row>
    <row r="1200" s="2" customFormat="1" ht="12.75">
      <c r="H1200" s="13"/>
    </row>
    <row r="1201" s="2" customFormat="1" ht="12.75">
      <c r="H1201" s="13"/>
    </row>
    <row r="1202" s="2" customFormat="1" ht="12.75">
      <c r="H1202" s="13"/>
    </row>
    <row r="1203" s="2" customFormat="1" ht="12.75">
      <c r="H1203" s="13"/>
    </row>
    <row r="1204" s="2" customFormat="1" ht="12.75">
      <c r="H1204" s="13"/>
    </row>
    <row r="1205" s="2" customFormat="1" ht="12.75">
      <c r="H1205" s="13"/>
    </row>
    <row r="1206" s="2" customFormat="1" ht="12.75">
      <c r="H1206" s="13"/>
    </row>
    <row r="1207" s="2" customFormat="1" ht="12.75">
      <c r="H1207" s="13"/>
    </row>
    <row r="1208" s="2" customFormat="1" ht="12.75">
      <c r="H1208" s="13"/>
    </row>
    <row r="1209" s="2" customFormat="1" ht="12.75">
      <c r="H1209" s="13"/>
    </row>
    <row r="1210" s="2" customFormat="1" ht="12.75">
      <c r="H1210" s="13"/>
    </row>
    <row r="1211" s="2" customFormat="1" ht="12.75">
      <c r="H1211" s="13"/>
    </row>
    <row r="1212" s="2" customFormat="1" ht="12.75">
      <c r="H1212" s="13"/>
    </row>
    <row r="1213" s="2" customFormat="1" ht="12.75">
      <c r="H1213" s="13"/>
    </row>
    <row r="1214" s="2" customFormat="1" ht="12.75">
      <c r="H1214" s="13"/>
    </row>
    <row r="1215" s="2" customFormat="1" ht="12.75">
      <c r="H1215" s="13"/>
    </row>
    <row r="1216" s="2" customFormat="1" ht="12.75">
      <c r="H1216" s="13"/>
    </row>
    <row r="1217" s="2" customFormat="1" ht="12.75">
      <c r="H1217" s="13"/>
    </row>
    <row r="1218" s="2" customFormat="1" ht="12.75">
      <c r="H1218" s="13"/>
    </row>
    <row r="1219" s="2" customFormat="1" ht="12.75">
      <c r="H1219" s="13"/>
    </row>
    <row r="1220" s="2" customFormat="1" ht="12.75">
      <c r="H1220" s="13"/>
    </row>
    <row r="1221" s="2" customFormat="1" ht="12.75">
      <c r="H1221" s="13"/>
    </row>
    <row r="1222" s="2" customFormat="1" ht="12.75">
      <c r="H1222" s="13"/>
    </row>
    <row r="1223" s="2" customFormat="1" ht="12.75">
      <c r="H1223" s="13"/>
    </row>
    <row r="1224" s="2" customFormat="1" ht="12.75">
      <c r="H1224" s="13"/>
    </row>
    <row r="1225" s="2" customFormat="1" ht="12.75">
      <c r="H1225" s="13"/>
    </row>
    <row r="1226" s="2" customFormat="1" ht="12.75">
      <c r="H1226" s="13"/>
    </row>
    <row r="1227" s="2" customFormat="1" ht="12.75">
      <c r="H1227" s="13"/>
    </row>
    <row r="1228" s="2" customFormat="1" ht="12.75">
      <c r="H1228" s="13"/>
    </row>
    <row r="1229" s="2" customFormat="1" ht="12.75">
      <c r="H1229" s="13"/>
    </row>
    <row r="1230" s="2" customFormat="1" ht="12.75">
      <c r="H1230" s="13"/>
    </row>
    <row r="1231" s="2" customFormat="1" ht="12.75">
      <c r="H1231" s="13"/>
    </row>
    <row r="1232" s="2" customFormat="1" ht="12.75">
      <c r="H1232" s="13"/>
    </row>
    <row r="1233" s="2" customFormat="1" ht="12.75">
      <c r="H1233" s="13"/>
    </row>
    <row r="1234" s="2" customFormat="1" ht="12.75">
      <c r="H1234" s="13"/>
    </row>
    <row r="1235" s="2" customFormat="1" ht="12.75">
      <c r="H1235" s="13"/>
    </row>
    <row r="1236" s="2" customFormat="1" ht="12.75">
      <c r="H1236" s="13"/>
    </row>
    <row r="1237" s="2" customFormat="1" ht="12.75">
      <c r="H1237" s="13"/>
    </row>
    <row r="1238" s="2" customFormat="1" ht="12.75">
      <c r="H1238" s="13"/>
    </row>
    <row r="1239" s="2" customFormat="1" ht="12.75">
      <c r="H1239" s="13"/>
    </row>
    <row r="1240" s="2" customFormat="1" ht="12.75">
      <c r="H1240" s="13"/>
    </row>
    <row r="1241" s="2" customFormat="1" ht="12.75">
      <c r="H1241" s="13"/>
    </row>
    <row r="1242" s="2" customFormat="1" ht="12.75">
      <c r="H1242" s="13"/>
    </row>
    <row r="1243" s="2" customFormat="1" ht="12.75">
      <c r="H1243" s="13"/>
    </row>
    <row r="1244" s="2" customFormat="1" ht="12.75">
      <c r="H1244" s="13"/>
    </row>
    <row r="1245" s="2" customFormat="1" ht="12.75">
      <c r="H1245" s="13"/>
    </row>
    <row r="1246" s="2" customFormat="1" ht="12.75">
      <c r="H1246" s="13"/>
    </row>
    <row r="1247" s="2" customFormat="1" ht="12.75">
      <c r="H1247" s="13"/>
    </row>
    <row r="1248" s="2" customFormat="1" ht="12.75">
      <c r="H1248" s="13"/>
    </row>
    <row r="1249" s="2" customFormat="1" ht="12.75">
      <c r="H1249" s="13"/>
    </row>
    <row r="1250" s="2" customFormat="1" ht="12.75">
      <c r="H1250" s="13"/>
    </row>
    <row r="1251" s="2" customFormat="1" ht="12.75">
      <c r="H1251" s="13"/>
    </row>
    <row r="1252" s="2" customFormat="1" ht="12.75">
      <c r="H1252" s="13"/>
    </row>
    <row r="1253" s="2" customFormat="1" ht="12.75">
      <c r="H1253" s="13"/>
    </row>
    <row r="1254" s="2" customFormat="1" ht="12.75">
      <c r="H1254" s="13"/>
    </row>
    <row r="1255" s="2" customFormat="1" ht="12.75">
      <c r="H1255" s="13"/>
    </row>
    <row r="1256" s="2" customFormat="1" ht="12.75">
      <c r="H1256" s="13"/>
    </row>
    <row r="1257" s="2" customFormat="1" ht="12.75">
      <c r="H1257" s="13"/>
    </row>
    <row r="1258" s="2" customFormat="1" ht="12.75">
      <c r="H1258" s="13"/>
    </row>
    <row r="1259" s="2" customFormat="1" ht="12.75">
      <c r="H1259" s="13"/>
    </row>
  </sheetData>
  <sheetProtection/>
  <mergeCells count="439">
    <mergeCell ref="D159:D162"/>
    <mergeCell ref="E159:E162"/>
    <mergeCell ref="F159:F162"/>
    <mergeCell ref="G159:G162"/>
    <mergeCell ref="H159:H162"/>
    <mergeCell ref="A163:H163"/>
    <mergeCell ref="B159:B162"/>
    <mergeCell ref="D127:D131"/>
    <mergeCell ref="B194:B197"/>
    <mergeCell ref="E194:E197"/>
    <mergeCell ref="D194:D197"/>
    <mergeCell ref="A67:H67"/>
    <mergeCell ref="A78:H78"/>
    <mergeCell ref="A126:H126"/>
    <mergeCell ref="A138:H138"/>
    <mergeCell ref="A132:H132"/>
    <mergeCell ref="B127:B131"/>
    <mergeCell ref="A257:H257"/>
    <mergeCell ref="E127:E131"/>
    <mergeCell ref="A96:H96"/>
    <mergeCell ref="A144:H144"/>
    <mergeCell ref="B139:B143"/>
    <mergeCell ref="D139:D143"/>
    <mergeCell ref="E139:E143"/>
    <mergeCell ref="A113:H113"/>
    <mergeCell ref="B98:B101"/>
    <mergeCell ref="D265:D268"/>
    <mergeCell ref="E265:E268"/>
    <mergeCell ref="A251:H251"/>
    <mergeCell ref="A247:A250"/>
    <mergeCell ref="A235:A239"/>
    <mergeCell ref="A265:A268"/>
    <mergeCell ref="B235:B239"/>
    <mergeCell ref="B242:B245"/>
    <mergeCell ref="B247:B250"/>
    <mergeCell ref="F252:F255"/>
    <mergeCell ref="B205:B208"/>
    <mergeCell ref="D205:D208"/>
    <mergeCell ref="A199:H199"/>
    <mergeCell ref="E252:E255"/>
    <mergeCell ref="G252:G255"/>
    <mergeCell ref="H252:H255"/>
    <mergeCell ref="E217:E220"/>
    <mergeCell ref="F217:F220"/>
    <mergeCell ref="G217:G220"/>
    <mergeCell ref="H217:H220"/>
    <mergeCell ref="A222:H222"/>
    <mergeCell ref="G228:G231"/>
    <mergeCell ref="D270:D273"/>
    <mergeCell ref="E270:E273"/>
    <mergeCell ref="D217:D220"/>
    <mergeCell ref="E223:E226"/>
    <mergeCell ref="A221:H221"/>
    <mergeCell ref="A232:H232"/>
    <mergeCell ref="A233:H233"/>
    <mergeCell ref="A252:A255"/>
    <mergeCell ref="D275:D278"/>
    <mergeCell ref="E275:E278"/>
    <mergeCell ref="E98:E101"/>
    <mergeCell ref="D98:D101"/>
    <mergeCell ref="D120:D123"/>
    <mergeCell ref="E120:E123"/>
    <mergeCell ref="A107:H107"/>
    <mergeCell ref="D103:D106"/>
    <mergeCell ref="B217:B220"/>
    <mergeCell ref="A217:A220"/>
    <mergeCell ref="G62:G65"/>
    <mergeCell ref="H62:H65"/>
    <mergeCell ref="A61:H61"/>
    <mergeCell ref="A62:A65"/>
    <mergeCell ref="B62:B65"/>
    <mergeCell ref="D62:D65"/>
    <mergeCell ref="E62:E65"/>
    <mergeCell ref="F62:F65"/>
    <mergeCell ref="A56:H56"/>
    <mergeCell ref="A57:A60"/>
    <mergeCell ref="B57:B60"/>
    <mergeCell ref="D57:D60"/>
    <mergeCell ref="E57:E60"/>
    <mergeCell ref="F57:F60"/>
    <mergeCell ref="G57:G60"/>
    <mergeCell ref="H57:H60"/>
    <mergeCell ref="A45:A48"/>
    <mergeCell ref="B45:B48"/>
    <mergeCell ref="E51:E54"/>
    <mergeCell ref="A50:H50"/>
    <mergeCell ref="F45:F48"/>
    <mergeCell ref="G45:G48"/>
    <mergeCell ref="H45:H48"/>
    <mergeCell ref="A38:H38"/>
    <mergeCell ref="A39:H39"/>
    <mergeCell ref="D40:D43"/>
    <mergeCell ref="E40:E43"/>
    <mergeCell ref="A55:H55"/>
    <mergeCell ref="A51:A54"/>
    <mergeCell ref="B51:B54"/>
    <mergeCell ref="A44:H44"/>
    <mergeCell ref="A49:H49"/>
    <mergeCell ref="D51:D54"/>
    <mergeCell ref="D9:D13"/>
    <mergeCell ref="E9:E13"/>
    <mergeCell ref="A14:H14"/>
    <mergeCell ref="D15:D18"/>
    <mergeCell ref="B15:B18"/>
    <mergeCell ref="A33:H33"/>
    <mergeCell ref="A32:H32"/>
    <mergeCell ref="A19:H19"/>
    <mergeCell ref="B21:B25"/>
    <mergeCell ref="D21:D25"/>
    <mergeCell ref="H3:H4"/>
    <mergeCell ref="A3:C4"/>
    <mergeCell ref="D3:D4"/>
    <mergeCell ref="E3:E4"/>
    <mergeCell ref="D34:D37"/>
    <mergeCell ref="E34:E37"/>
    <mergeCell ref="F3:G3"/>
    <mergeCell ref="A7:H7"/>
    <mergeCell ref="A8:H8"/>
    <mergeCell ref="B9:B13"/>
    <mergeCell ref="A40:A43"/>
    <mergeCell ref="B40:B43"/>
    <mergeCell ref="A6:H6"/>
    <mergeCell ref="A26:H26"/>
    <mergeCell ref="B27:B30"/>
    <mergeCell ref="A27:A30"/>
    <mergeCell ref="D27:D30"/>
    <mergeCell ref="E27:E30"/>
    <mergeCell ref="F27:F30"/>
    <mergeCell ref="A9:A13"/>
    <mergeCell ref="A2:H2"/>
    <mergeCell ref="A31:H31"/>
    <mergeCell ref="A5:H5"/>
    <mergeCell ref="A34:A37"/>
    <mergeCell ref="B34:B37"/>
    <mergeCell ref="D45:D48"/>
    <mergeCell ref="E45:E48"/>
    <mergeCell ref="A21:A25"/>
    <mergeCell ref="A15:A18"/>
    <mergeCell ref="E15:E18"/>
    <mergeCell ref="H74:H77"/>
    <mergeCell ref="A68:H68"/>
    <mergeCell ref="A73:H73"/>
    <mergeCell ref="A66:H66"/>
    <mergeCell ref="A302:H302"/>
    <mergeCell ref="B316:B319"/>
    <mergeCell ref="D316:D319"/>
    <mergeCell ref="E316:E319"/>
    <mergeCell ref="B270:B273"/>
    <mergeCell ref="B252:B255"/>
    <mergeCell ref="B310:B313"/>
    <mergeCell ref="A79:H79"/>
    <mergeCell ref="A84:H84"/>
    <mergeCell ref="A304:H304"/>
    <mergeCell ref="B80:B83"/>
    <mergeCell ref="A69:A72"/>
    <mergeCell ref="A74:A77"/>
    <mergeCell ref="A80:A83"/>
    <mergeCell ref="F74:F77"/>
    <mergeCell ref="G74:G77"/>
    <mergeCell ref="A305:A308"/>
    <mergeCell ref="D69:D72"/>
    <mergeCell ref="D74:D77"/>
    <mergeCell ref="E74:E77"/>
    <mergeCell ref="B69:B72"/>
    <mergeCell ref="B74:B77"/>
    <mergeCell ref="E69:E72"/>
    <mergeCell ref="A200:A203"/>
    <mergeCell ref="A205:A208"/>
    <mergeCell ref="E205:E208"/>
    <mergeCell ref="F310:F313"/>
    <mergeCell ref="G310:G313"/>
    <mergeCell ref="F321:F324"/>
    <mergeCell ref="G321:G324"/>
    <mergeCell ref="B305:B308"/>
    <mergeCell ref="D305:D308"/>
    <mergeCell ref="E305:E308"/>
    <mergeCell ref="A309:H309"/>
    <mergeCell ref="A315:H315"/>
    <mergeCell ref="A316:A319"/>
    <mergeCell ref="A321:A324"/>
    <mergeCell ref="B321:B324"/>
    <mergeCell ref="D321:D324"/>
    <mergeCell ref="E321:E324"/>
    <mergeCell ref="A314:H314"/>
    <mergeCell ref="A310:A313"/>
    <mergeCell ref="E310:E313"/>
    <mergeCell ref="A320:H320"/>
    <mergeCell ref="H310:H313"/>
    <mergeCell ref="H321:H324"/>
    <mergeCell ref="B85:B88"/>
    <mergeCell ref="D85:D88"/>
    <mergeCell ref="E85:E88"/>
    <mergeCell ref="D80:D83"/>
    <mergeCell ref="E80:E83"/>
    <mergeCell ref="AW84:BD84"/>
    <mergeCell ref="BE84:BL84"/>
    <mergeCell ref="BM84:BT84"/>
    <mergeCell ref="BU84:CB84"/>
    <mergeCell ref="CC84:CJ84"/>
    <mergeCell ref="I84:P84"/>
    <mergeCell ref="Q84:X84"/>
    <mergeCell ref="Y84:AF84"/>
    <mergeCell ref="AG84:AN84"/>
    <mergeCell ref="AO84:AV84"/>
    <mergeCell ref="A216:H216"/>
    <mergeCell ref="EG84:EN84"/>
    <mergeCell ref="EO84:EV84"/>
    <mergeCell ref="EW84:FD84"/>
    <mergeCell ref="FE84:FL84"/>
    <mergeCell ref="CK84:CR84"/>
    <mergeCell ref="CS84:CZ84"/>
    <mergeCell ref="DA84:DH84"/>
    <mergeCell ref="DI84:DP84"/>
    <mergeCell ref="DQ84:DX84"/>
    <mergeCell ref="HI84:HP84"/>
    <mergeCell ref="HQ84:HX84"/>
    <mergeCell ref="HY84:IF84"/>
    <mergeCell ref="FM84:FT84"/>
    <mergeCell ref="FU84:GB84"/>
    <mergeCell ref="GC84:GJ84"/>
    <mergeCell ref="GK84:GR84"/>
    <mergeCell ref="A85:A88"/>
    <mergeCell ref="F85:F88"/>
    <mergeCell ref="G85:G88"/>
    <mergeCell ref="H85:H88"/>
    <mergeCell ref="A303:H303"/>
    <mergeCell ref="HA84:HH84"/>
    <mergeCell ref="A120:A123"/>
    <mergeCell ref="D145:D148"/>
    <mergeCell ref="E145:E148"/>
    <mergeCell ref="F145:F148"/>
    <mergeCell ref="IO84:IV84"/>
    <mergeCell ref="A89:H89"/>
    <mergeCell ref="IG84:IN84"/>
    <mergeCell ref="GS84:GZ84"/>
    <mergeCell ref="DY84:EF84"/>
    <mergeCell ref="A98:A101"/>
    <mergeCell ref="A97:H97"/>
    <mergeCell ref="A92:A95"/>
    <mergeCell ref="B92:B95"/>
    <mergeCell ref="D310:D313"/>
    <mergeCell ref="A115:A118"/>
    <mergeCell ref="B115:B118"/>
    <mergeCell ref="D115:D118"/>
    <mergeCell ref="E115:E118"/>
    <mergeCell ref="A108:H108"/>
    <mergeCell ref="A109:A112"/>
    <mergeCell ref="E133:E136"/>
    <mergeCell ref="F133:F136"/>
    <mergeCell ref="G133:G136"/>
    <mergeCell ref="G109:G112"/>
    <mergeCell ref="H109:H112"/>
    <mergeCell ref="A133:A136"/>
    <mergeCell ref="B133:B136"/>
    <mergeCell ref="D133:D136"/>
    <mergeCell ref="D92:D95"/>
    <mergeCell ref="E92:E95"/>
    <mergeCell ref="E103:E106"/>
    <mergeCell ref="H133:H136"/>
    <mergeCell ref="B120:B123"/>
    <mergeCell ref="A204:H204"/>
    <mergeCell ref="A145:A148"/>
    <mergeCell ref="B145:B148"/>
    <mergeCell ref="G145:G148"/>
    <mergeCell ref="H145:H148"/>
    <mergeCell ref="D200:D203"/>
    <mergeCell ref="E200:E203"/>
    <mergeCell ref="A119:H119"/>
    <mergeCell ref="A127:A131"/>
    <mergeCell ref="A139:A143"/>
    <mergeCell ref="F92:F95"/>
    <mergeCell ref="G92:G95"/>
    <mergeCell ref="H92:H95"/>
    <mergeCell ref="B109:B112"/>
    <mergeCell ref="D109:D112"/>
    <mergeCell ref="E109:E112"/>
    <mergeCell ref="F109:F112"/>
    <mergeCell ref="A90:H90"/>
    <mergeCell ref="A91:H91"/>
    <mergeCell ref="B282:B285"/>
    <mergeCell ref="A114:H114"/>
    <mergeCell ref="A102:H102"/>
    <mergeCell ref="A103:A106"/>
    <mergeCell ref="B103:B106"/>
    <mergeCell ref="A124:H124"/>
    <mergeCell ref="A125:H125"/>
    <mergeCell ref="A137:H137"/>
    <mergeCell ref="A298:A301"/>
    <mergeCell ref="D298:D301"/>
    <mergeCell ref="E298:E301"/>
    <mergeCell ref="A293:A296"/>
    <mergeCell ref="D293:D296"/>
    <mergeCell ref="A292:H292"/>
    <mergeCell ref="B298:B301"/>
    <mergeCell ref="B293:B296"/>
    <mergeCell ref="A297:H297"/>
    <mergeCell ref="E293:E296"/>
    <mergeCell ref="A209:H209"/>
    <mergeCell ref="A212:A215"/>
    <mergeCell ref="B212:B215"/>
    <mergeCell ref="D212:D215"/>
    <mergeCell ref="E212:E215"/>
    <mergeCell ref="A210:H210"/>
    <mergeCell ref="A211:H211"/>
    <mergeCell ref="B200:B203"/>
    <mergeCell ref="A198:H198"/>
    <mergeCell ref="A186:H186"/>
    <mergeCell ref="A187:H187"/>
    <mergeCell ref="A193:H193"/>
    <mergeCell ref="A188:H188"/>
    <mergeCell ref="B189:B192"/>
    <mergeCell ref="D189:D192"/>
    <mergeCell ref="E189:E192"/>
    <mergeCell ref="D182:D185"/>
    <mergeCell ref="E182:E185"/>
    <mergeCell ref="F182:F185"/>
    <mergeCell ref="G182:G185"/>
    <mergeCell ref="H182:H185"/>
    <mergeCell ref="A157:H157"/>
    <mergeCell ref="A168:H168"/>
    <mergeCell ref="A169:H169"/>
    <mergeCell ref="A158:H158"/>
    <mergeCell ref="A159:A162"/>
    <mergeCell ref="A189:A192"/>
    <mergeCell ref="A194:A197"/>
    <mergeCell ref="A175:H175"/>
    <mergeCell ref="A170:A174"/>
    <mergeCell ref="B170:B174"/>
    <mergeCell ref="D170:D174"/>
    <mergeCell ref="E170:E174"/>
    <mergeCell ref="A181:H181"/>
    <mergeCell ref="A182:A185"/>
    <mergeCell ref="B182:B185"/>
    <mergeCell ref="A149:H149"/>
    <mergeCell ref="A152:A156"/>
    <mergeCell ref="B152:B156"/>
    <mergeCell ref="D152:D156"/>
    <mergeCell ref="E152:E156"/>
    <mergeCell ref="A150:H150"/>
    <mergeCell ref="A151:H151"/>
    <mergeCell ref="A227:H227"/>
    <mergeCell ref="A228:A231"/>
    <mergeCell ref="B228:B231"/>
    <mergeCell ref="D228:D231"/>
    <mergeCell ref="E228:E231"/>
    <mergeCell ref="F228:F231"/>
    <mergeCell ref="F275:F278"/>
    <mergeCell ref="G275:G278"/>
    <mergeCell ref="H275:H278"/>
    <mergeCell ref="A223:A226"/>
    <mergeCell ref="B223:B226"/>
    <mergeCell ref="D223:D226"/>
    <mergeCell ref="A234:H234"/>
    <mergeCell ref="D258:D262"/>
    <mergeCell ref="E258:E262"/>
    <mergeCell ref="D252:D255"/>
    <mergeCell ref="B275:B278"/>
    <mergeCell ref="B265:B268"/>
    <mergeCell ref="B258:B262"/>
    <mergeCell ref="A258:A262"/>
    <mergeCell ref="A275:A278"/>
    <mergeCell ref="A270:A273"/>
    <mergeCell ref="A264:H264"/>
    <mergeCell ref="A269:H269"/>
    <mergeCell ref="A274:H274"/>
    <mergeCell ref="A263:H263"/>
    <mergeCell ref="F270:F273"/>
    <mergeCell ref="G270:G273"/>
    <mergeCell ref="H270:H273"/>
    <mergeCell ref="D247:D250"/>
    <mergeCell ref="D235:D239"/>
    <mergeCell ref="E235:E239"/>
    <mergeCell ref="D242:D245"/>
    <mergeCell ref="E242:E245"/>
    <mergeCell ref="A240:H240"/>
    <mergeCell ref="A241:H241"/>
    <mergeCell ref="A287:A290"/>
    <mergeCell ref="D287:D290"/>
    <mergeCell ref="E287:E290"/>
    <mergeCell ref="A279:H279"/>
    <mergeCell ref="A282:A285"/>
    <mergeCell ref="D282:D285"/>
    <mergeCell ref="E282:E285"/>
    <mergeCell ref="A281:H281"/>
    <mergeCell ref="A286:H286"/>
    <mergeCell ref="B287:B290"/>
    <mergeCell ref="E21:E25"/>
    <mergeCell ref="A20:H20"/>
    <mergeCell ref="H15:H18"/>
    <mergeCell ref="F15:F18"/>
    <mergeCell ref="G15:G18"/>
    <mergeCell ref="G247:G250"/>
    <mergeCell ref="H247:H250"/>
    <mergeCell ref="G27:G30"/>
    <mergeCell ref="H27:H30"/>
    <mergeCell ref="F40:F43"/>
    <mergeCell ref="G40:G43"/>
    <mergeCell ref="H40:H43"/>
    <mergeCell ref="A246:H246"/>
    <mergeCell ref="E247:E250"/>
    <mergeCell ref="A242:A245"/>
    <mergeCell ref="G287:G290"/>
    <mergeCell ref="H287:H290"/>
    <mergeCell ref="A164:A167"/>
    <mergeCell ref="B164:B167"/>
    <mergeCell ref="D164:D167"/>
    <mergeCell ref="F298:F301"/>
    <mergeCell ref="G298:G301"/>
    <mergeCell ref="H298:H301"/>
    <mergeCell ref="H228:H231"/>
    <mergeCell ref="F242:F245"/>
    <mergeCell ref="G242:G245"/>
    <mergeCell ref="H242:H245"/>
    <mergeCell ref="F247:F250"/>
    <mergeCell ref="A256:H256"/>
    <mergeCell ref="A291:H291"/>
    <mergeCell ref="E164:E167"/>
    <mergeCell ref="F164:F167"/>
    <mergeCell ref="F287:F290"/>
    <mergeCell ref="A280:H280"/>
    <mergeCell ref="F265:F268"/>
    <mergeCell ref="G265:G268"/>
    <mergeCell ref="H265:H268"/>
    <mergeCell ref="G164:G167"/>
    <mergeCell ref="H164:H167"/>
    <mergeCell ref="A176:H176"/>
    <mergeCell ref="H177:H180"/>
    <mergeCell ref="B177:B180"/>
    <mergeCell ref="A177:A180"/>
    <mergeCell ref="D177:D180"/>
    <mergeCell ref="E177:E180"/>
    <mergeCell ref="F177:F180"/>
    <mergeCell ref="G177:G18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Чекулаева Ольга Анатольевна</cp:lastModifiedBy>
  <cp:lastPrinted>2010-12-21T08:58:17Z</cp:lastPrinted>
  <dcterms:created xsi:type="dcterms:W3CDTF">1996-10-08T23:32:33Z</dcterms:created>
  <dcterms:modified xsi:type="dcterms:W3CDTF">2014-11-27T11:41:33Z</dcterms:modified>
  <cp:category/>
  <cp:version/>
  <cp:contentType/>
  <cp:contentStatus/>
</cp:coreProperties>
</file>