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65446" windowWidth="14250" windowHeight="11640" activeTab="2"/>
  </bookViews>
  <sheets>
    <sheet name="МРСК" sheetId="1" r:id="rId1"/>
    <sheet name="МРСК 2" sheetId="2" r:id="rId2"/>
    <sheet name="Итоговая" sheetId="3" r:id="rId3"/>
  </sheets>
  <definedNames>
    <definedName name="_xlnm.Print_Titles" localSheetId="0">'МРСК'!$4:$7</definedName>
    <definedName name="_xlnm.Print_Titles" localSheetId="1">'МРСК 2'!$7:$7</definedName>
    <definedName name="_xlnm.Print_Area" localSheetId="0">'МРСК'!$A$1:$N$260</definedName>
    <definedName name="_xlnm.Print_Area" localSheetId="1">'МРСК 2'!$A$1:$N$260</definedName>
  </definedNames>
  <calcPr fullCalcOnLoad="1"/>
</workbook>
</file>

<file path=xl/sharedStrings.xml><?xml version="1.0" encoding="utf-8"?>
<sst xmlns="http://schemas.openxmlformats.org/spreadsheetml/2006/main" count="1486" uniqueCount="292">
  <si>
    <t>Примечание</t>
  </si>
  <si>
    <t>25+25</t>
  </si>
  <si>
    <t>40+48</t>
  </si>
  <si>
    <t>40+40</t>
  </si>
  <si>
    <t>16+16</t>
  </si>
  <si>
    <t>32+32</t>
  </si>
  <si>
    <t>15+15</t>
  </si>
  <si>
    <t>10+10</t>
  </si>
  <si>
    <t>10+16</t>
  </si>
  <si>
    <t>16+10</t>
  </si>
  <si>
    <t>3,2+10</t>
  </si>
  <si>
    <t>20+25+25</t>
  </si>
  <si>
    <t>2,5+2,5</t>
  </si>
  <si>
    <t>4+4</t>
  </si>
  <si>
    <t>4+5,6</t>
  </si>
  <si>
    <t>6,3+6,3</t>
  </si>
  <si>
    <t>4+2,5</t>
  </si>
  <si>
    <t>10+10+10</t>
  </si>
  <si>
    <t>2,5+4</t>
  </si>
  <si>
    <t>7,5+6,3</t>
  </si>
  <si>
    <t>6,3+4</t>
  </si>
  <si>
    <t>1,6+2,5</t>
  </si>
  <si>
    <t>2,5+1,6</t>
  </si>
  <si>
    <t>25+31,5</t>
  </si>
  <si>
    <t>4</t>
  </si>
  <si>
    <t>2,5</t>
  </si>
  <si>
    <t>6,3</t>
  </si>
  <si>
    <t>1,6</t>
  </si>
  <si>
    <t>40+25</t>
  </si>
  <si>
    <t>12,5+12,5</t>
  </si>
  <si>
    <t>16+8</t>
  </si>
  <si>
    <t>4+6,3</t>
  </si>
  <si>
    <t>25+25+25</t>
  </si>
  <si>
    <t>16+16+16</t>
  </si>
  <si>
    <t>P</t>
  </si>
  <si>
    <t>Q</t>
  </si>
  <si>
    <t>Calculation of transmission capacity of Main substations of the branch "Belgorodenergo" of IDGC of Centre, JSC following the results of winter measurement of peak load of 2009.</t>
  </si>
  <si>
    <t>No.</t>
  </si>
  <si>
    <t>Object of main substation, voltage class</t>
  </si>
  <si>
    <t>Installed power capacity of transformers Sуst. Including their number, pcs/ MVA</t>
  </si>
  <si>
    <t xml:space="preserve">Summary total capacity of central substation following the results of measurements of load maximal Sмах </t>
  </si>
  <si>
    <t>MVA</t>
  </si>
  <si>
    <t>Current deficit</t>
  </si>
  <si>
    <t>Total capacity redistributed according to operating rules, MVA for the time period</t>
  </si>
  <si>
    <t>Min</t>
  </si>
  <si>
    <t>Total capacity including re-distribution, MVA</t>
  </si>
  <si>
    <t>Limiting factors, MVA</t>
  </si>
  <si>
    <t>Permissible load accounted in the n-1 mode, MVA</t>
  </si>
  <si>
    <t>Deficit/proficit of Main Substation, MVA</t>
  </si>
  <si>
    <t>Note</t>
  </si>
  <si>
    <t>Table 1</t>
  </si>
  <si>
    <t>D.Polyana</t>
  </si>
  <si>
    <t>Konshino</t>
  </si>
  <si>
    <t>Orositelnaya</t>
  </si>
  <si>
    <t>Pishcheprom</t>
  </si>
  <si>
    <t>Rovenki-110</t>
  </si>
  <si>
    <t>Serebryanka</t>
  </si>
  <si>
    <t>One-transformer substations</t>
  </si>
  <si>
    <t>SS-110/35/10kv D.Polyana</t>
  </si>
  <si>
    <t>Sн. MV, МVА</t>
  </si>
  <si>
    <t>Sн. LV, МVА</t>
  </si>
  <si>
    <t>SS-110/35/10kv Konshino</t>
  </si>
  <si>
    <t>SS-110/35/10kv Orositelnaya</t>
  </si>
  <si>
    <t>SS-110/35/6kv Pishcheprom</t>
  </si>
  <si>
    <t>SS-110/35/10kv Rovenki</t>
  </si>
  <si>
    <t>SS-110/35/10kv Serebryanka</t>
  </si>
  <si>
    <t>Sн. LV, MVА</t>
  </si>
  <si>
    <t>SS-35/10kv Afanasyevka</t>
  </si>
  <si>
    <t>SS-35/10kv Borisovka</t>
  </si>
  <si>
    <t>SS-35/10kv Borisy</t>
  </si>
  <si>
    <t>SS-35/10kv Gostishchevo</t>
  </si>
  <si>
    <t>SS-35/10kv Gruzskoe</t>
  </si>
  <si>
    <t>SS-35/10kv Zemsnaryad</t>
  </si>
  <si>
    <t>SS-35/10kv Kazachya Lisitsa</t>
  </si>
  <si>
    <t>SS-35/10kv Kamyzino</t>
  </si>
  <si>
    <t>SS-35/10kv Koloskovo</t>
  </si>
  <si>
    <t>SS-35/10jkv Kryukovo</t>
  </si>
  <si>
    <t>SS-35/10kv Kushchino</t>
  </si>
  <si>
    <t>SS-35/10kv Lopukhinka</t>
  </si>
  <si>
    <t>SS-35/10kv Malakeevo</t>
  </si>
  <si>
    <t>SS-35/10kv Murom</t>
  </si>
  <si>
    <t>SS-35/10kv Nikolaevka</t>
  </si>
  <si>
    <t>SS-35/10kv Nikolskoe</t>
  </si>
  <si>
    <t>SS-35/10kv Pokrovka</t>
  </si>
  <si>
    <t>SS-35/10kv Pyatnitskoe</t>
  </si>
  <si>
    <t>SS-35/10kv Sugar plant Ivnya</t>
  </si>
  <si>
    <t>SS-35/10kv Svistovka</t>
  </si>
  <si>
    <t>SS-35/10kv sovkhoz "Urazovsky"</t>
  </si>
  <si>
    <t>SS-35/10kv Tserkovnaya</t>
  </si>
  <si>
    <t>SS-35/10kv Kharkovskaya</t>
  </si>
  <si>
    <t>Two- and more transformer substations</t>
  </si>
  <si>
    <t>SS-110/6kv Automobile maintenance plant</t>
  </si>
  <si>
    <t>SS-110/35/10kv Aydar</t>
  </si>
  <si>
    <t>SS-110/35/10kv Alexandrovka</t>
  </si>
  <si>
    <t>SS-110/35/10kv Alexeevka</t>
  </si>
  <si>
    <t>SS-110/35/10kv Arkhangelskoe</t>
  </si>
  <si>
    <t>SS-110/6kv Belgorod-1</t>
  </si>
  <si>
    <t>SS-110/35/10kv Borisovka</t>
  </si>
  <si>
    <t>SS-110/35/10kv V.Pokrovka</t>
  </si>
  <si>
    <t>SS-110/35/10kv Veydelevka</t>
  </si>
  <si>
    <t>SS-110/6kv Vitamin plant</t>
  </si>
  <si>
    <t>SS-110/35/10kv Volokonovka</t>
  </si>
  <si>
    <t>SS-110/35/6kv Vostochnaya</t>
  </si>
  <si>
    <t>SS-110/10/6kv Golofeevka</t>
  </si>
  <si>
    <t>SS-110/10kv Gotnya</t>
  </si>
  <si>
    <t>SS-110/35/10kv Grayvoron</t>
  </si>
  <si>
    <t>SS-110/6kv Donets</t>
  </si>
  <si>
    <t>SS-110/10kv Dubovoe</t>
  </si>
  <si>
    <t>SS-110/35/6kv Zhuravliki</t>
  </si>
  <si>
    <t>SS-110/10kv Zapadnaya</t>
  </si>
  <si>
    <t>SS-110/35/10kv Ivnya</t>
  </si>
  <si>
    <t>SS-110/35/10kv K.Gvardiya</t>
  </si>
  <si>
    <t>SS-110/10/6kv Kazatskie Bugry</t>
  </si>
  <si>
    <t>SS-110/35/10kv Korocha</t>
  </si>
  <si>
    <t>SS-110/10kv Krapivenskaya</t>
  </si>
  <si>
    <t>SS-110/35/10kv Krasnaya Yaruga</t>
  </si>
  <si>
    <t>SS-110/10/10kv Mayskaya</t>
  </si>
  <si>
    <t>SS-110/35/10kv Maximovka</t>
  </si>
  <si>
    <t>SS-110/35/10kv N.Oskol</t>
  </si>
  <si>
    <t>SS-110/10kv Obukhovskaya</t>
  </si>
  <si>
    <t>SS-110/6kv Ochistnye</t>
  </si>
  <si>
    <t>SS-110/10kv Promyshlennaya</t>
  </si>
  <si>
    <t>SS-110/10kv Poultry plant</t>
  </si>
  <si>
    <t>SS-110/10kv Pushkarnaya</t>
  </si>
  <si>
    <t>SS-110/35/10kv Rakitnoe</t>
  </si>
  <si>
    <t>SS-110/35/6kv Rudnik</t>
  </si>
  <si>
    <t>SS-110/10kv Severnaya</t>
  </si>
  <si>
    <t>SS-110/35/10kv Skorodnoe</t>
  </si>
  <si>
    <t>SS-110/35/6kv St.Oskol - 1</t>
  </si>
  <si>
    <t>SS-110/35/10kv Streletskaya</t>
  </si>
  <si>
    <t>SS-110/6kv Stroitel</t>
  </si>
  <si>
    <t>SS-110/35/10kv Tomarovka</t>
  </si>
  <si>
    <t>SS-110/6kv Chemical plant</t>
  </si>
  <si>
    <t>SS-110/10kv Tsentralnaya</t>
  </si>
  <si>
    <t>SS-110/35/10kv Cheremoshnoe</t>
  </si>
  <si>
    <t>SS-110/35/10kv Chernyanka</t>
  </si>
  <si>
    <t>SS-110/35/6kv Shebekino</t>
  </si>
  <si>
    <t>SS-110/10kv Sheino</t>
  </si>
  <si>
    <t>SS-110/10/6kv Yuzhnaya</t>
  </si>
  <si>
    <t>SS-35/10kv Aleynikovo</t>
  </si>
  <si>
    <t>SS-35/10kv Alexeevka (yak.)</t>
  </si>
  <si>
    <t>SS-35/10kv Alexeevka (kor.)</t>
  </si>
  <si>
    <t>SS-35/10kv Annovka</t>
  </si>
  <si>
    <t>SS-35/10kv Artelnoe</t>
  </si>
  <si>
    <t>SS-35/10kv B.Dvory</t>
  </si>
  <si>
    <t>SS-35/10kv B.Ivanovka</t>
  </si>
  <si>
    <t>SS-35/10kv B.Kolodez</t>
  </si>
  <si>
    <t>SS-35/10kv B.Ples</t>
  </si>
  <si>
    <t>SS-35/10kv B.Troitsa</t>
  </si>
  <si>
    <t>SS-35/10kv Belovskoe</t>
  </si>
  <si>
    <t>SS-35/10kv Belyanka</t>
  </si>
  <si>
    <t>SS-35/10kv Bessonovka</t>
  </si>
  <si>
    <t>SS-35/10kv B.Lubyanki</t>
  </si>
  <si>
    <t>SS-35/10kv V.Mikhailovka</t>
  </si>
  <si>
    <t>SS-35/10kv Varvarovka</t>
  </si>
  <si>
    <t>SS-35/10kv Vengerovka</t>
  </si>
  <si>
    <t>SS-35/10kv Verkhopenye</t>
  </si>
  <si>
    <t>SS-35/10kv Viktoropol</t>
  </si>
  <si>
    <t>SS-35/10kv Vislaya Dubrava</t>
  </si>
  <si>
    <t>SS-35/10kv Vladimirovka</t>
  </si>
  <si>
    <t>SS-35/10kv Water storage</t>
  </si>
  <si>
    <t>SS-35/6kv Vostochnaya</t>
  </si>
  <si>
    <t>SS-35/10kv Vsesvyatka</t>
  </si>
  <si>
    <t>SS-35/10kv Glinnoe</t>
  </si>
  <si>
    <t>SS-35/10kv Golovchino</t>
  </si>
  <si>
    <t>SS-35/10kv Gora-Podol</t>
  </si>
  <si>
    <t>SS-35/10kv Gorodishche</t>
  </si>
  <si>
    <t>SS-35/10kv Dmitrievka</t>
  </si>
  <si>
    <t>SS-35/10kv Dorogoshch</t>
  </si>
  <si>
    <t>SS-35/10kv Dragunka</t>
  </si>
  <si>
    <t>SS-35/10kv Zhuravlevka</t>
  </si>
  <si>
    <t>SS-35/6kv Zhuravliki</t>
  </si>
  <si>
    <t>SS-35/10kv Zavidovka</t>
  </si>
  <si>
    <t>SS-35/6kv Zapadnaya</t>
  </si>
  <si>
    <t>SS-35/10kv Zozuli</t>
  </si>
  <si>
    <t>SS-35/10kv Ivitsa</t>
  </si>
  <si>
    <t>SS-35/10kv Ilovka</t>
  </si>
  <si>
    <t>SS-35/10kv Istobnoe</t>
  </si>
  <si>
    <t>SS-35/10kv Kazatskaya</t>
  </si>
  <si>
    <t>SS-35/10kv Kazinka</t>
  </si>
  <si>
    <t>SS-35/10kv Kamyshevatoe</t>
  </si>
  <si>
    <t>SS-35/10kv Kirovskaya</t>
  </si>
  <si>
    <t>SS-35/10kv Kotovo</t>
  </si>
  <si>
    <t>SS-35/10kv Kochetovka</t>
  </si>
  <si>
    <t>SS-35/10kv Krasnoe</t>
  </si>
  <si>
    <t>SS-35/10kv Kretovo</t>
  </si>
  <si>
    <t>SS-35/10kv Kurasovka</t>
  </si>
  <si>
    <t>SS-35/6kv Lebedi</t>
  </si>
  <si>
    <t>SS-35/6kv Ledovaya</t>
  </si>
  <si>
    <t>SS-35/10kv Livenka</t>
  </si>
  <si>
    <t>SS-35/10kv Lubyanoe</t>
  </si>
  <si>
    <t>SS-35/10kv M.Pristan</t>
  </si>
  <si>
    <t>SS-35/10kv М.Troitsa</t>
  </si>
  <si>
    <t>SS-35/10kv Malinovka</t>
  </si>
  <si>
    <t>SS-35/10kv Mandrovo</t>
  </si>
  <si>
    <t>SS-35/10kv Mukhouderovka</t>
  </si>
  <si>
    <t>SS-35/10kv N.Alexandrovka</t>
  </si>
  <si>
    <t>SS-35/10kv N.Derevnya</t>
  </si>
  <si>
    <t>SS-35/10kv N.Tavolzhanka</t>
  </si>
  <si>
    <t>SS-35/10kv N.Ukolovo</t>
  </si>
  <si>
    <t>SS-35/10kv N.Khutornoe</t>
  </si>
  <si>
    <t>SS-35/10kv Neminushchee</t>
  </si>
  <si>
    <t>SS-35/10kv Nechaevka</t>
  </si>
  <si>
    <t>SS-35/10kv Nikitovka</t>
  </si>
  <si>
    <t>SS-35/10kv Novenkoe</t>
  </si>
  <si>
    <t>SS-35/10kv Oktyabrskaya</t>
  </si>
  <si>
    <t>SS-35/10kv Orlik</t>
  </si>
  <si>
    <t>SS-35/10kv Podolkhi</t>
  </si>
  <si>
    <t>SS-35/10kv Popovka</t>
  </si>
  <si>
    <t>SS-35/10kv Prelestnoe</t>
  </si>
  <si>
    <t>SS-35/6kv Privokzalnaya</t>
  </si>
  <si>
    <t>SS-35/10kv Prilepy</t>
  </si>
  <si>
    <t>SS-35/10kv Printsevka</t>
  </si>
  <si>
    <t>SS-35/10kv Radkovka</t>
  </si>
  <si>
    <t>SS-35/10kv Razdornoe</t>
  </si>
  <si>
    <t>SS-35/10kv Repyakhovka</t>
  </si>
  <si>
    <t>SS-35/10kv Rzhevka</t>
  </si>
  <si>
    <t>SS-35/10kv Rovenki</t>
  </si>
  <si>
    <t>SS-35/10kv Rogovatoe</t>
  </si>
  <si>
    <t>SS-35/10kv Saprykino</t>
  </si>
  <si>
    <t>SS-35/6kv Severnaya</t>
  </si>
  <si>
    <t>SS-35/10kv Setishche</t>
  </si>
  <si>
    <t>SS-35/10kv Slonovka</t>
  </si>
  <si>
    <t>SS-35/6kv St.Oskol -2</t>
  </si>
  <si>
    <t>SS-35/10kv Starikovo</t>
  </si>
  <si>
    <t>SS-35/10kv Tavrovo</t>
  </si>
  <si>
    <t>SS-35/10kv Terebrino</t>
  </si>
  <si>
    <t>SS-35/10kv Urazovo</t>
  </si>
  <si>
    <t>SS-35/10kv Utochka</t>
  </si>
  <si>
    <t>SS-35/6kv Fedoseevka</t>
  </si>
  <si>
    <t>SS-35/10kv Foshchevatvo</t>
  </si>
  <si>
    <t>SS-35/10kv Kholodnoe</t>
  </si>
  <si>
    <t>SS-35/6kv Chernyansky sugar plant</t>
  </si>
  <si>
    <t>SS-35/10kv Shatalovka</t>
  </si>
  <si>
    <t>SS-35/10kv Shakhovka</t>
  </si>
  <si>
    <t>SS-35/10kv Shishino</t>
  </si>
  <si>
    <t>SS-35/10kv Yablonovo</t>
  </si>
  <si>
    <t>SS-35/10kv Yarskoe</t>
  </si>
  <si>
    <t>TOTAL:</t>
  </si>
  <si>
    <t>deficit</t>
  </si>
  <si>
    <t>proficit</t>
  </si>
  <si>
    <t>Automobile maintenance plant</t>
  </si>
  <si>
    <t>Aydar</t>
  </si>
  <si>
    <t>Alexeevka</t>
  </si>
  <si>
    <t>Alexandrovka</t>
  </si>
  <si>
    <t>Arkhangelskoe</t>
  </si>
  <si>
    <t>Belgorod-1</t>
  </si>
  <si>
    <t>Borisovka</t>
  </si>
  <si>
    <t>V.Pokrovka</t>
  </si>
  <si>
    <t>Veydelevka</t>
  </si>
  <si>
    <t>Vitamin plant</t>
  </si>
  <si>
    <t>Volokonovka</t>
  </si>
  <si>
    <t>Vostochnaya</t>
  </si>
  <si>
    <t>Golofeevka</t>
  </si>
  <si>
    <t>Gotnya</t>
  </si>
  <si>
    <t>Grayvoron</t>
  </si>
  <si>
    <t>Donets</t>
  </si>
  <si>
    <t>Dubovoe</t>
  </si>
  <si>
    <t>Zhuravliki</t>
  </si>
  <si>
    <t>Zapadnaya</t>
  </si>
  <si>
    <t>Ivnya</t>
  </si>
  <si>
    <t>K.Gvardiya</t>
  </si>
  <si>
    <t>Kazatskie Bugry</t>
  </si>
  <si>
    <t>Korocha</t>
  </si>
  <si>
    <t>Krasnaya Yaruga</t>
  </si>
  <si>
    <t>Maximovka</t>
  </si>
  <si>
    <t>N.Oskol</t>
  </si>
  <si>
    <t>Obukhovskaya</t>
  </si>
  <si>
    <t>Ochistnye</t>
  </si>
  <si>
    <t>Promyshlennaya</t>
  </si>
  <si>
    <t>Poultry plant</t>
  </si>
  <si>
    <t>Pushkarnaya</t>
  </si>
  <si>
    <t>Rakitnoe</t>
  </si>
  <si>
    <t>Rudnik</t>
  </si>
  <si>
    <t>Severnaya</t>
  </si>
  <si>
    <t>Skorodnoe</t>
  </si>
  <si>
    <t>St.Oskol - 1</t>
  </si>
  <si>
    <t>Streletskaya</t>
  </si>
  <si>
    <t>Stroitel</t>
  </si>
  <si>
    <t>Tomarovka</t>
  </si>
  <si>
    <t>Chemical plant</t>
  </si>
  <si>
    <t>Tsentralnaya</t>
  </si>
  <si>
    <t>Cheremoshnoe</t>
  </si>
  <si>
    <t>Chernyanka</t>
  </si>
  <si>
    <t>Shebekino</t>
  </si>
  <si>
    <t>Sheino</t>
  </si>
  <si>
    <t>Yuzhnaya</t>
  </si>
  <si>
    <t>Table 2</t>
  </si>
  <si>
    <t>Expected deficit/proficit</t>
  </si>
  <si>
    <t>Additional capacity according to provided technical specifications at TS, MVA</t>
  </si>
  <si>
    <t>Expected load of Main substation, MVA</t>
  </si>
  <si>
    <t>Permissible load calculated in the n-1 mode, MVA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</si>
</sst>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Calibri"/>
      <family val="2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6"/>
      <color indexed="56"/>
      <name val="Times New Roman"/>
      <family val="1"/>
    </font>
    <font>
      <b/>
      <sz val="20"/>
      <color indexed="30"/>
      <name val="Times New Roman"/>
      <family val="1"/>
    </font>
    <font>
      <b/>
      <sz val="48"/>
      <color indexed="8"/>
      <name val="Times New Roman"/>
      <family val="1"/>
    </font>
    <font>
      <i/>
      <sz val="8"/>
      <name val="Calibri"/>
      <family val="2"/>
    </font>
    <font>
      <sz val="15"/>
      <color indexed="10"/>
      <name val="Times New Roman"/>
      <family val="1"/>
    </font>
    <font>
      <sz val="15"/>
      <color indexed="10"/>
      <name val="Calibri"/>
      <family val="2"/>
    </font>
    <font>
      <sz val="12"/>
      <color indexed="10"/>
      <name val="Times New Roman"/>
      <family val="1"/>
    </font>
    <font>
      <sz val="1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6" fillId="0" borderId="24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64" fontId="7" fillId="0" borderId="3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38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0" fillId="0" borderId="38" xfId="0" applyNumberFormat="1" applyFill="1" applyBorder="1" applyAlignment="1">
      <alignment vertical="center"/>
    </xf>
    <xf numFmtId="0" fontId="10" fillId="24" borderId="0" xfId="0" applyFont="1" applyFill="1" applyAlignment="1">
      <alignment vertical="center"/>
    </xf>
    <xf numFmtId="165" fontId="11" fillId="0" borderId="0" xfId="0" applyNumberFormat="1" applyFont="1" applyFill="1" applyAlignment="1">
      <alignment/>
    </xf>
    <xf numFmtId="164" fontId="1" fillId="24" borderId="0" xfId="0" applyNumberFormat="1" applyFont="1" applyFill="1" applyAlignment="1">
      <alignment/>
    </xf>
    <xf numFmtId="0" fontId="2" fillId="24" borderId="12" xfId="0" applyFont="1" applyFill="1" applyBorder="1" applyAlignment="1">
      <alignment horizontal="center" vertical="top" wrapText="1"/>
    </xf>
    <xf numFmtId="0" fontId="0" fillId="24" borderId="38" xfId="0" applyFill="1" applyBorder="1" applyAlignment="1">
      <alignment vertical="center"/>
    </xf>
    <xf numFmtId="164" fontId="3" fillId="24" borderId="11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/>
    </xf>
    <xf numFmtId="164" fontId="7" fillId="24" borderId="37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right"/>
    </xf>
    <xf numFmtId="164" fontId="6" fillId="24" borderId="16" xfId="0" applyNumberFormat="1" applyFont="1" applyFill="1" applyBorder="1" applyAlignment="1">
      <alignment horizontal="right"/>
    </xf>
    <xf numFmtId="164" fontId="1" fillId="24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right"/>
    </xf>
    <xf numFmtId="0" fontId="13" fillId="21" borderId="0" xfId="0" applyFont="1" applyFill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2" fontId="3" fillId="24" borderId="35" xfId="0" applyNumberFormat="1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/>
    </xf>
    <xf numFmtId="2" fontId="2" fillId="24" borderId="35" xfId="0" applyNumberFormat="1" applyFont="1" applyFill="1" applyBorder="1" applyAlignment="1">
      <alignment horizontal="center" vertical="center"/>
    </xf>
    <xf numFmtId="164" fontId="2" fillId="24" borderId="35" xfId="0" applyNumberFormat="1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2" fontId="3" fillId="24" borderId="18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/>
    </xf>
    <xf numFmtId="2" fontId="2" fillId="24" borderId="18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1" fontId="2" fillId="24" borderId="17" xfId="0" applyNumberFormat="1" applyFont="1" applyFill="1" applyBorder="1" applyAlignment="1">
      <alignment horizontal="center" vertical="center"/>
    </xf>
    <xf numFmtId="164" fontId="2" fillId="24" borderId="17" xfId="0" applyNumberFormat="1" applyFont="1" applyFill="1" applyBorder="1" applyAlignment="1">
      <alignment horizontal="center" vertical="center"/>
    </xf>
    <xf numFmtId="0" fontId="2" fillId="24" borderId="18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/>
    </xf>
    <xf numFmtId="164" fontId="6" fillId="24" borderId="16" xfId="0" applyNumberFormat="1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2" fillId="24" borderId="13" xfId="0" applyFont="1" applyFill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2" fontId="3" fillId="24" borderId="35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2" fontId="3" fillId="24" borderId="17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top" wrapText="1"/>
    </xf>
    <xf numFmtId="164" fontId="2" fillId="0" borderId="37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64" fontId="14" fillId="24" borderId="18" xfId="0" applyNumberFormat="1" applyFont="1" applyFill="1" applyBorder="1" applyAlignment="1">
      <alignment horizontal="center" vertical="center"/>
    </xf>
    <xf numFmtId="2" fontId="14" fillId="0" borderId="35" xfId="0" applyNumberFormat="1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center"/>
    </xf>
    <xf numFmtId="164" fontId="14" fillId="0" borderId="35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164" fontId="15" fillId="0" borderId="37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left"/>
    </xf>
    <xf numFmtId="0" fontId="2" fillId="24" borderId="2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17" fillId="0" borderId="37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6" fillId="0" borderId="16" xfId="0" applyNumberFormat="1" applyFont="1" applyFill="1" applyBorder="1" applyAlignment="1">
      <alignment horizontal="left"/>
    </xf>
    <xf numFmtId="0" fontId="2" fillId="0" borderId="41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24" borderId="42" xfId="0" applyFont="1" applyFill="1" applyBorder="1" applyAlignment="1">
      <alignment horizontal="center" vertical="top" wrapText="1"/>
    </xf>
    <xf numFmtId="164" fontId="2" fillId="24" borderId="28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5" fontId="2" fillId="0" borderId="17" xfId="0" applyNumberFormat="1" applyFont="1" applyFill="1" applyBorder="1" applyAlignment="1">
      <alignment vertical="center" wrapText="1"/>
    </xf>
    <xf numFmtId="0" fontId="14" fillId="0" borderId="3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2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24" borderId="54" xfId="0" applyFont="1" applyFill="1" applyBorder="1" applyAlignment="1">
      <alignment horizontal="center" vertical="top" wrapText="1"/>
    </xf>
    <xf numFmtId="0" fontId="2" fillId="24" borderId="55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S260"/>
  <sheetViews>
    <sheetView view="pageBreakPreview" zoomScale="70" zoomScaleNormal="70" zoomScaleSheetLayoutView="70" zoomScalePageLayoutView="0" workbookViewId="0" topLeftCell="A1">
      <pane ySplit="7" topLeftCell="BM256" activePane="bottomLeft" state="frozen"/>
      <selection pane="topLeft" activeCell="A1" sqref="A1"/>
      <selection pane="bottomLeft" activeCell="B256" sqref="B256:B258"/>
    </sheetView>
  </sheetViews>
  <sheetFormatPr defaultColWidth="9.140625" defaultRowHeight="15"/>
  <cols>
    <col min="1" max="1" width="9.140625" style="1" customWidth="1"/>
    <col min="2" max="2" width="44.7109375" style="4" customWidth="1"/>
    <col min="3" max="5" width="23.140625" style="1" customWidth="1"/>
    <col min="6" max="6" width="22.00390625" style="116" customWidth="1"/>
    <col min="7" max="8" width="11.00390625" style="5" customWidth="1"/>
    <col min="9" max="9" width="16.421875" style="1" bestFit="1" customWidth="1"/>
    <col min="10" max="10" width="19.140625" style="1" customWidth="1"/>
    <col min="11" max="11" width="16.00390625" style="1" customWidth="1"/>
    <col min="12" max="13" width="14.00390625" style="1" customWidth="1"/>
    <col min="14" max="14" width="17.57421875" style="1" customWidth="1"/>
    <col min="15" max="15" width="9.140625" style="1" customWidth="1"/>
    <col min="16" max="16" width="12.57421875" style="1" customWidth="1"/>
    <col min="17" max="17" width="12.28125" style="1" customWidth="1"/>
    <col min="18" max="18" width="24.28125" style="1" customWidth="1"/>
    <col min="19" max="16384" width="9.140625" style="1" customWidth="1"/>
  </cols>
  <sheetData>
    <row r="2" spans="1:16" ht="20.25">
      <c r="A2" s="217" t="s">
        <v>36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  <c r="M2" s="218"/>
      <c r="N2" s="218"/>
      <c r="P2" s="1">
        <v>1000</v>
      </c>
    </row>
    <row r="3" ht="31.5" customHeight="1" thickBot="1">
      <c r="N3" s="40" t="s">
        <v>50</v>
      </c>
    </row>
    <row r="4" spans="1:14" s="6" customFormat="1" ht="20.25" customHeight="1" thickBot="1">
      <c r="A4" s="227" t="s">
        <v>37</v>
      </c>
      <c r="B4" s="228" t="s">
        <v>38</v>
      </c>
      <c r="C4" s="222" t="s">
        <v>42</v>
      </c>
      <c r="D4" s="223"/>
      <c r="E4" s="223"/>
      <c r="F4" s="224"/>
      <c r="G4" s="224"/>
      <c r="H4" s="224"/>
      <c r="I4" s="224"/>
      <c r="J4" s="224"/>
      <c r="K4" s="224"/>
      <c r="L4" s="225"/>
      <c r="M4" s="226"/>
      <c r="N4" s="206" t="s">
        <v>49</v>
      </c>
    </row>
    <row r="5" spans="1:14" s="6" customFormat="1" ht="141" customHeight="1" thickBot="1">
      <c r="A5" s="215"/>
      <c r="B5" s="216"/>
      <c r="C5" s="230" t="s">
        <v>39</v>
      </c>
      <c r="D5" s="201" t="s">
        <v>34</v>
      </c>
      <c r="E5" s="202" t="s">
        <v>35</v>
      </c>
      <c r="F5" s="199" t="s">
        <v>40</v>
      </c>
      <c r="G5" s="232" t="s">
        <v>43</v>
      </c>
      <c r="H5" s="233"/>
      <c r="I5" s="215" t="s">
        <v>45</v>
      </c>
      <c r="J5" s="215" t="s">
        <v>46</v>
      </c>
      <c r="K5" s="216" t="s">
        <v>47</v>
      </c>
      <c r="L5" s="219" t="s">
        <v>48</v>
      </c>
      <c r="M5" s="220"/>
      <c r="N5" s="207"/>
    </row>
    <row r="6" spans="1:14" s="6" customFormat="1" ht="23.25" customHeight="1" thickBot="1">
      <c r="A6" s="215"/>
      <c r="B6" s="229"/>
      <c r="C6" s="231"/>
      <c r="D6" s="203"/>
      <c r="E6" s="204"/>
      <c r="F6" s="200" t="s">
        <v>41</v>
      </c>
      <c r="G6" s="50" t="s">
        <v>41</v>
      </c>
      <c r="H6" s="50" t="s">
        <v>44</v>
      </c>
      <c r="I6" s="215"/>
      <c r="J6" s="215"/>
      <c r="K6" s="216"/>
      <c r="L6" s="221"/>
      <c r="M6" s="205"/>
      <c r="N6" s="208"/>
    </row>
    <row r="7" spans="1:14" ht="20.25" thickBot="1">
      <c r="A7" s="106">
        <v>1</v>
      </c>
      <c r="B7" s="51">
        <v>2</v>
      </c>
      <c r="C7" s="194">
        <v>4</v>
      </c>
      <c r="D7" s="194"/>
      <c r="E7" s="194"/>
      <c r="F7" s="11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234">
        <v>11</v>
      </c>
      <c r="M7" s="234"/>
      <c r="N7" s="106">
        <v>12</v>
      </c>
    </row>
    <row r="8" spans="1:14" s="13" customFormat="1" ht="20.25" thickBot="1">
      <c r="A8" s="32" t="s">
        <v>57</v>
      </c>
      <c r="B8" s="107"/>
      <c r="C8" s="107"/>
      <c r="D8" s="107"/>
      <c r="E8" s="107"/>
      <c r="F8" s="118"/>
      <c r="G8" s="107"/>
      <c r="H8" s="107"/>
      <c r="I8" s="107"/>
      <c r="J8" s="107"/>
      <c r="K8" s="107"/>
      <c r="L8" s="107"/>
      <c r="M8" s="107"/>
      <c r="N8" s="108"/>
    </row>
    <row r="9" spans="1:17" s="13" customFormat="1" ht="20.25" thickBot="1">
      <c r="A9" s="9">
        <v>1</v>
      </c>
      <c r="B9" s="210" t="s">
        <v>58</v>
      </c>
      <c r="C9" s="10">
        <f>'МРСК 2'!C9</f>
        <v>6.3</v>
      </c>
      <c r="D9" s="10">
        <f>D10+D11</f>
        <v>1523</v>
      </c>
      <c r="E9" s="10">
        <f>E10+E11</f>
        <v>679</v>
      </c>
      <c r="F9" s="119">
        <f>SQRT(D9*D9+E9*E9)/1000</f>
        <v>1.6675041229334338</v>
      </c>
      <c r="G9" s="36">
        <v>1.457</v>
      </c>
      <c r="H9" s="11">
        <v>45</v>
      </c>
      <c r="I9" s="12">
        <f>G9</f>
        <v>1.457</v>
      </c>
      <c r="J9" s="12">
        <v>0</v>
      </c>
      <c r="K9" s="12">
        <f>G9-J9</f>
        <v>1.457</v>
      </c>
      <c r="L9" s="104">
        <f aca="true" t="shared" si="0" ref="L9:L49">K9-F9</f>
        <v>-0.21050412293343368</v>
      </c>
      <c r="M9" s="235">
        <f>MIN(L9:L11)</f>
        <v>-0.5794173589107325</v>
      </c>
      <c r="N9" s="41"/>
      <c r="P9" s="3" t="s">
        <v>51</v>
      </c>
      <c r="Q9" s="109">
        <v>1.4534596657630372</v>
      </c>
    </row>
    <row r="10" spans="1:17" s="13" customFormat="1" ht="20.25" thickBot="1">
      <c r="A10" s="14"/>
      <c r="B10" s="210" t="s">
        <v>59</v>
      </c>
      <c r="C10" s="8">
        <f>'МРСК 2'!C10</f>
        <v>6.3</v>
      </c>
      <c r="D10" s="8">
        <v>513</v>
      </c>
      <c r="E10" s="8">
        <v>301</v>
      </c>
      <c r="F10" s="119">
        <f aca="true" t="shared" si="1" ref="F10:F73">SQRT(D10*D10+E10*E10)/1000</f>
        <v>0.5947856756849479</v>
      </c>
      <c r="G10" s="33">
        <v>0.958</v>
      </c>
      <c r="H10" s="47"/>
      <c r="I10" s="15">
        <f aca="true" t="shared" si="2" ref="I10:I49">G10</f>
        <v>0.958</v>
      </c>
      <c r="J10" s="15">
        <v>0</v>
      </c>
      <c r="K10" s="31">
        <f aca="true" t="shared" si="3" ref="K10:K49">G10-J10</f>
        <v>0.958</v>
      </c>
      <c r="L10" s="46">
        <f t="shared" si="0"/>
        <v>0.3632143243150521</v>
      </c>
      <c r="M10" s="236"/>
      <c r="N10" s="34"/>
      <c r="P10" s="2" t="s">
        <v>52</v>
      </c>
      <c r="Q10" s="109">
        <v>0.38327144427937754</v>
      </c>
    </row>
    <row r="11" spans="1:17" s="13" customFormat="1" ht="20.25" thickBot="1">
      <c r="A11" s="74"/>
      <c r="B11" s="210" t="s">
        <v>60</v>
      </c>
      <c r="C11" s="75">
        <f>'МРСК 2'!C11</f>
        <v>6.3</v>
      </c>
      <c r="D11" s="75">
        <v>1010</v>
      </c>
      <c r="E11" s="75">
        <v>378</v>
      </c>
      <c r="F11" s="119">
        <f t="shared" si="1"/>
        <v>1.0784173589107326</v>
      </c>
      <c r="G11" s="77">
        <v>0.4990000000000001</v>
      </c>
      <c r="H11" s="78"/>
      <c r="I11" s="79">
        <f t="shared" si="2"/>
        <v>0.4990000000000001</v>
      </c>
      <c r="J11" s="79">
        <v>0</v>
      </c>
      <c r="K11" s="80">
        <f>G11-J11</f>
        <v>0.4990000000000001</v>
      </c>
      <c r="L11" s="76">
        <f>K11-F11</f>
        <v>-0.5794173589107325</v>
      </c>
      <c r="M11" s="237"/>
      <c r="N11" s="81"/>
      <c r="P11" s="2" t="s">
        <v>53</v>
      </c>
      <c r="Q11" s="109">
        <v>11.606508217375284</v>
      </c>
    </row>
    <row r="12" spans="1:17" s="13" customFormat="1" ht="21" thickBot="1" thickTop="1">
      <c r="A12" s="82">
        <v>2</v>
      </c>
      <c r="B12" s="210" t="s">
        <v>61</v>
      </c>
      <c r="C12" s="84">
        <f>'МРСК 2'!C12</f>
        <v>6.3</v>
      </c>
      <c r="D12" s="84">
        <f>D13+D14</f>
        <v>375</v>
      </c>
      <c r="E12" s="84">
        <f>E13+E14</f>
        <v>154</v>
      </c>
      <c r="F12" s="119">
        <f>SQRT(D12*D12+E12*E12)/1000</f>
        <v>0.40538993574088644</v>
      </c>
      <c r="G12" s="85">
        <v>0.39</v>
      </c>
      <c r="H12" s="86">
        <v>20</v>
      </c>
      <c r="I12" s="87">
        <f t="shared" si="2"/>
        <v>0.39</v>
      </c>
      <c r="J12" s="87">
        <v>0</v>
      </c>
      <c r="K12" s="87">
        <f t="shared" si="3"/>
        <v>0.39</v>
      </c>
      <c r="L12" s="103">
        <f t="shared" si="0"/>
        <v>-0.015389935740886429</v>
      </c>
      <c r="M12" s="238">
        <f>MIN(L12:L14)</f>
        <v>-0.015389935740886429</v>
      </c>
      <c r="N12" s="88"/>
      <c r="P12" s="2" t="s">
        <v>54</v>
      </c>
      <c r="Q12" s="109">
        <v>6.430870081101001</v>
      </c>
    </row>
    <row r="13" spans="1:17" s="13" customFormat="1" ht="20.25" thickBot="1">
      <c r="A13" s="14"/>
      <c r="B13" s="210" t="s">
        <v>59</v>
      </c>
      <c r="C13" s="8">
        <f>'МРСК 2'!C13</f>
        <v>6.3</v>
      </c>
      <c r="D13" s="8"/>
      <c r="E13" s="8"/>
      <c r="F13" s="119">
        <f t="shared" si="1"/>
        <v>0</v>
      </c>
      <c r="G13" s="33">
        <v>0</v>
      </c>
      <c r="H13" s="47"/>
      <c r="I13" s="15">
        <f t="shared" si="2"/>
        <v>0</v>
      </c>
      <c r="J13" s="15">
        <v>0</v>
      </c>
      <c r="K13" s="31">
        <f t="shared" si="3"/>
        <v>0</v>
      </c>
      <c r="L13" s="46">
        <f t="shared" si="0"/>
        <v>0</v>
      </c>
      <c r="M13" s="236"/>
      <c r="N13" s="34"/>
      <c r="P13" s="2" t="s">
        <v>55</v>
      </c>
      <c r="Q13" s="109">
        <v>2.290230119442149</v>
      </c>
    </row>
    <row r="14" spans="1:17" s="13" customFormat="1" ht="20.25" thickBot="1">
      <c r="A14" s="74"/>
      <c r="B14" s="210" t="s">
        <v>60</v>
      </c>
      <c r="C14" s="75">
        <f>'МРСК 2'!C14</f>
        <v>6.3</v>
      </c>
      <c r="D14" s="75">
        <v>375</v>
      </c>
      <c r="E14" s="75">
        <v>154</v>
      </c>
      <c r="F14" s="119">
        <f t="shared" si="1"/>
        <v>0.40538993574088644</v>
      </c>
      <c r="G14" s="77">
        <v>0.39</v>
      </c>
      <c r="H14" s="78"/>
      <c r="I14" s="79">
        <f t="shared" si="2"/>
        <v>0.39</v>
      </c>
      <c r="J14" s="79">
        <v>0</v>
      </c>
      <c r="K14" s="80">
        <f t="shared" si="3"/>
        <v>0.39</v>
      </c>
      <c r="L14" s="76">
        <f t="shared" si="0"/>
        <v>-0.015389935740886429</v>
      </c>
      <c r="M14" s="237"/>
      <c r="N14" s="81"/>
      <c r="P14" s="2" t="s">
        <v>56</v>
      </c>
      <c r="Q14" s="109">
        <v>1.2338674969379815</v>
      </c>
    </row>
    <row r="15" spans="1:14" s="13" customFormat="1" ht="21" thickBot="1" thickTop="1">
      <c r="A15" s="82">
        <v>3</v>
      </c>
      <c r="B15" s="210" t="s">
        <v>62</v>
      </c>
      <c r="C15" s="29">
        <f>'МРСК 2'!C15</f>
        <v>16</v>
      </c>
      <c r="D15" s="29">
        <f>D16+D17</f>
        <v>11884</v>
      </c>
      <c r="E15" s="29">
        <f>E16+E17</f>
        <v>2898</v>
      </c>
      <c r="F15" s="119">
        <f>SQRT(D15*D15+E15*E15)/1000</f>
        <v>12.23224672740049</v>
      </c>
      <c r="G15" s="38">
        <v>11.607</v>
      </c>
      <c r="H15" s="30">
        <v>120</v>
      </c>
      <c r="I15" s="31">
        <f t="shared" si="2"/>
        <v>11.607</v>
      </c>
      <c r="J15" s="31">
        <v>0</v>
      </c>
      <c r="K15" s="31">
        <f t="shared" si="3"/>
        <v>11.607</v>
      </c>
      <c r="L15" s="105">
        <f t="shared" si="0"/>
        <v>-0.6252467274004907</v>
      </c>
      <c r="M15" s="239">
        <f>MIN(L15:L17)</f>
        <v>-0.9052504435536761</v>
      </c>
      <c r="N15" s="44"/>
    </row>
    <row r="16" spans="1:14" s="13" customFormat="1" ht="20.25" thickBot="1">
      <c r="A16" s="14"/>
      <c r="B16" s="210" t="s">
        <v>59</v>
      </c>
      <c r="C16" s="8">
        <f>'МРСК 2'!C16</f>
        <v>16</v>
      </c>
      <c r="D16" s="8">
        <v>9059</v>
      </c>
      <c r="E16" s="8">
        <v>2898</v>
      </c>
      <c r="F16" s="119">
        <f t="shared" si="1"/>
        <v>9.511250443553676</v>
      </c>
      <c r="G16" s="33">
        <v>8.606</v>
      </c>
      <c r="H16" s="47"/>
      <c r="I16" s="15">
        <f t="shared" si="2"/>
        <v>8.606</v>
      </c>
      <c r="J16" s="15">
        <v>0</v>
      </c>
      <c r="K16" s="31">
        <f t="shared" si="3"/>
        <v>8.606</v>
      </c>
      <c r="L16" s="46">
        <f t="shared" si="0"/>
        <v>-0.9052504435536761</v>
      </c>
      <c r="M16" s="236"/>
      <c r="N16" s="34"/>
    </row>
    <row r="17" spans="1:14" s="13" customFormat="1" ht="20.25" thickBot="1">
      <c r="A17" s="74"/>
      <c r="B17" s="210" t="s">
        <v>60</v>
      </c>
      <c r="C17" s="18">
        <f>'МРСК 2'!C17</f>
        <v>16</v>
      </c>
      <c r="D17" s="18">
        <v>2825</v>
      </c>
      <c r="E17" s="18"/>
      <c r="F17" s="119">
        <f t="shared" si="1"/>
        <v>2.825</v>
      </c>
      <c r="G17" s="72">
        <v>3.0009999999999994</v>
      </c>
      <c r="H17" s="19"/>
      <c r="I17" s="21">
        <f t="shared" si="2"/>
        <v>3.0009999999999994</v>
      </c>
      <c r="J17" s="21">
        <v>0</v>
      </c>
      <c r="K17" s="73">
        <f t="shared" si="3"/>
        <v>3.0009999999999994</v>
      </c>
      <c r="L17" s="20">
        <f t="shared" si="0"/>
        <v>0.17599999999999927</v>
      </c>
      <c r="M17" s="240"/>
      <c r="N17" s="35"/>
    </row>
    <row r="18" spans="1:14" s="13" customFormat="1" ht="21" thickBot="1" thickTop="1">
      <c r="A18" s="82">
        <v>4</v>
      </c>
      <c r="B18" s="210" t="s">
        <v>63</v>
      </c>
      <c r="C18" s="84">
        <f>'МРСК 2'!C18</f>
        <v>25</v>
      </c>
      <c r="D18" s="84">
        <f>D19+D20</f>
        <v>6036</v>
      </c>
      <c r="E18" s="84">
        <f>E19+E20</f>
        <v>1850</v>
      </c>
      <c r="F18" s="119">
        <f>SQRT(D18*D18+E18*E18)/1000</f>
        <v>6.313144699751464</v>
      </c>
      <c r="G18" s="85">
        <v>6.679</v>
      </c>
      <c r="H18" s="86">
        <v>120</v>
      </c>
      <c r="I18" s="87">
        <f t="shared" si="2"/>
        <v>6.679</v>
      </c>
      <c r="J18" s="87">
        <v>0</v>
      </c>
      <c r="K18" s="87">
        <f t="shared" si="3"/>
        <v>6.679</v>
      </c>
      <c r="L18" s="103">
        <f t="shared" si="0"/>
        <v>0.3658553002485361</v>
      </c>
      <c r="M18" s="238">
        <f>MIN(L18:L20)</f>
        <v>-0.24768830459162405</v>
      </c>
      <c r="N18" s="88"/>
    </row>
    <row r="19" spans="1:14" s="13" customFormat="1" ht="20.25" thickBot="1">
      <c r="A19" s="14"/>
      <c r="B19" s="210" t="s">
        <v>59</v>
      </c>
      <c r="C19" s="8">
        <f>'МРСК 2'!C19</f>
        <v>12.5</v>
      </c>
      <c r="D19" s="8">
        <v>2171</v>
      </c>
      <c r="E19" s="8">
        <v>662</v>
      </c>
      <c r="F19" s="119">
        <f t="shared" si="1"/>
        <v>2.269688304591624</v>
      </c>
      <c r="G19" s="33">
        <v>2.022</v>
      </c>
      <c r="H19" s="47"/>
      <c r="I19" s="15">
        <f t="shared" si="2"/>
        <v>2.022</v>
      </c>
      <c r="J19" s="15">
        <v>0</v>
      </c>
      <c r="K19" s="31">
        <f t="shared" si="3"/>
        <v>2.022</v>
      </c>
      <c r="L19" s="46">
        <f t="shared" si="0"/>
        <v>-0.24768830459162405</v>
      </c>
      <c r="M19" s="236"/>
      <c r="N19" s="34"/>
    </row>
    <row r="20" spans="1:14" s="13" customFormat="1" ht="20.25" thickBot="1">
      <c r="A20" s="74"/>
      <c r="B20" s="210" t="s">
        <v>60</v>
      </c>
      <c r="C20" s="75">
        <f>'МРСК 2'!C20</f>
        <v>12.5</v>
      </c>
      <c r="D20" s="75">
        <v>3865</v>
      </c>
      <c r="E20" s="75">
        <v>1188</v>
      </c>
      <c r="F20" s="119">
        <f t="shared" si="1"/>
        <v>4.043460028243138</v>
      </c>
      <c r="G20" s="77">
        <v>4.657</v>
      </c>
      <c r="H20" s="78"/>
      <c r="I20" s="79">
        <f t="shared" si="2"/>
        <v>4.657</v>
      </c>
      <c r="J20" s="79">
        <v>0</v>
      </c>
      <c r="K20" s="80">
        <f t="shared" si="3"/>
        <v>4.657</v>
      </c>
      <c r="L20" s="76">
        <f t="shared" si="0"/>
        <v>0.6135399717568619</v>
      </c>
      <c r="M20" s="237"/>
      <c r="N20" s="81"/>
    </row>
    <row r="21" spans="1:14" s="13" customFormat="1" ht="21" thickBot="1" thickTop="1">
      <c r="A21" s="82">
        <v>5</v>
      </c>
      <c r="B21" s="210" t="s">
        <v>64</v>
      </c>
      <c r="C21" s="10">
        <f>'МРСК 2'!C21</f>
        <v>16</v>
      </c>
      <c r="D21" s="10">
        <f>D22+D23</f>
        <v>2453</v>
      </c>
      <c r="E21" s="10">
        <f>E22+E23</f>
        <v>976</v>
      </c>
      <c r="F21" s="119">
        <f t="shared" si="1"/>
        <v>2.6400350376462813</v>
      </c>
      <c r="G21" s="36">
        <v>3.44</v>
      </c>
      <c r="H21" s="11">
        <v>120</v>
      </c>
      <c r="I21" s="12">
        <f t="shared" si="2"/>
        <v>3.44</v>
      </c>
      <c r="J21" s="12">
        <v>0</v>
      </c>
      <c r="K21" s="12">
        <f t="shared" si="3"/>
        <v>3.44</v>
      </c>
      <c r="L21" s="104">
        <f t="shared" si="0"/>
        <v>0.7999649623537186</v>
      </c>
      <c r="M21" s="235">
        <f>MIN(L21:L23)</f>
        <v>0.7999649623537186</v>
      </c>
      <c r="N21" s="41"/>
    </row>
    <row r="22" spans="1:14" s="13" customFormat="1" ht="20.25" thickBot="1">
      <c r="A22" s="14"/>
      <c r="B22" s="210" t="s">
        <v>59</v>
      </c>
      <c r="C22" s="8">
        <f>'МРСК 2'!C22</f>
        <v>16</v>
      </c>
      <c r="D22" s="8">
        <v>2</v>
      </c>
      <c r="E22" s="8">
        <v>34</v>
      </c>
      <c r="F22" s="119">
        <f t="shared" si="1"/>
        <v>0.03405877273185281</v>
      </c>
      <c r="G22" s="33">
        <v>4</v>
      </c>
      <c r="H22" s="47"/>
      <c r="I22" s="15">
        <f t="shared" si="2"/>
        <v>4</v>
      </c>
      <c r="J22" s="15">
        <v>0</v>
      </c>
      <c r="K22" s="31">
        <f t="shared" si="3"/>
        <v>4</v>
      </c>
      <c r="L22" s="46">
        <f t="shared" si="0"/>
        <v>3.9659412272681474</v>
      </c>
      <c r="M22" s="236"/>
      <c r="N22" s="34"/>
    </row>
    <row r="23" spans="1:14" s="13" customFormat="1" ht="20.25" thickBot="1">
      <c r="A23" s="74"/>
      <c r="B23" s="210" t="s">
        <v>60</v>
      </c>
      <c r="C23" s="18">
        <f>'МРСК 2'!C23</f>
        <v>16</v>
      </c>
      <c r="D23" s="18">
        <v>2451</v>
      </c>
      <c r="E23" s="18">
        <v>942</v>
      </c>
      <c r="F23" s="119">
        <f t="shared" si="1"/>
        <v>2.6257884530174933</v>
      </c>
      <c r="G23" s="72">
        <v>3.44</v>
      </c>
      <c r="H23" s="19"/>
      <c r="I23" s="21">
        <f t="shared" si="2"/>
        <v>3.44</v>
      </c>
      <c r="J23" s="21">
        <v>0</v>
      </c>
      <c r="K23" s="73">
        <f t="shared" si="3"/>
        <v>3.44</v>
      </c>
      <c r="L23" s="20">
        <f t="shared" si="0"/>
        <v>0.8142115469825066</v>
      </c>
      <c r="M23" s="240"/>
      <c r="N23" s="35"/>
    </row>
    <row r="24" spans="1:14" s="13" customFormat="1" ht="21" thickBot="1" thickTop="1">
      <c r="A24" s="82">
        <v>6</v>
      </c>
      <c r="B24" s="210" t="s">
        <v>65</v>
      </c>
      <c r="C24" s="84">
        <f>'МРСК 2'!C24</f>
        <v>10</v>
      </c>
      <c r="D24" s="84">
        <f>D25+D26</f>
        <v>1181</v>
      </c>
      <c r="E24" s="84">
        <f>E25+E26</f>
        <v>534</v>
      </c>
      <c r="F24" s="119">
        <f t="shared" si="1"/>
        <v>1.2961161213409855</v>
      </c>
      <c r="G24" s="85">
        <v>1.78</v>
      </c>
      <c r="H24" s="86">
        <v>45</v>
      </c>
      <c r="I24" s="87">
        <f t="shared" si="2"/>
        <v>1.78</v>
      </c>
      <c r="J24" s="87">
        <v>0</v>
      </c>
      <c r="K24" s="87">
        <f t="shared" si="3"/>
        <v>1.78</v>
      </c>
      <c r="L24" s="103">
        <f t="shared" si="0"/>
        <v>0.4838838786590145</v>
      </c>
      <c r="M24" s="238">
        <f>MIN(L24:L26)</f>
        <v>0</v>
      </c>
      <c r="N24" s="88"/>
    </row>
    <row r="25" spans="1:14" s="13" customFormat="1" ht="20.25" thickBot="1">
      <c r="A25" s="14"/>
      <c r="B25" s="210" t="s">
        <v>59</v>
      </c>
      <c r="C25" s="8">
        <f>'МРСК 2'!C25</f>
        <v>10</v>
      </c>
      <c r="D25" s="8">
        <v>0</v>
      </c>
      <c r="E25" s="8">
        <v>0</v>
      </c>
      <c r="F25" s="119">
        <f t="shared" si="1"/>
        <v>0</v>
      </c>
      <c r="G25" s="33">
        <v>0</v>
      </c>
      <c r="H25" s="47"/>
      <c r="I25" s="15">
        <f t="shared" si="2"/>
        <v>0</v>
      </c>
      <c r="J25" s="15">
        <v>0</v>
      </c>
      <c r="K25" s="31">
        <f t="shared" si="3"/>
        <v>0</v>
      </c>
      <c r="L25" s="46">
        <f t="shared" si="0"/>
        <v>0</v>
      </c>
      <c r="M25" s="236"/>
      <c r="N25" s="34"/>
    </row>
    <row r="26" spans="1:14" s="13" customFormat="1" ht="20.25" thickBot="1">
      <c r="A26" s="74"/>
      <c r="B26" s="210" t="s">
        <v>66</v>
      </c>
      <c r="C26" s="75">
        <f>'МРСК 2'!C26</f>
        <v>10</v>
      </c>
      <c r="D26" s="75">
        <v>1181</v>
      </c>
      <c r="E26" s="75">
        <v>534</v>
      </c>
      <c r="F26" s="119">
        <f t="shared" si="1"/>
        <v>1.2961161213409855</v>
      </c>
      <c r="G26" s="77">
        <v>1.78</v>
      </c>
      <c r="H26" s="78"/>
      <c r="I26" s="79">
        <f t="shared" si="2"/>
        <v>1.78</v>
      </c>
      <c r="J26" s="79">
        <v>0</v>
      </c>
      <c r="K26" s="80">
        <f t="shared" si="3"/>
        <v>1.78</v>
      </c>
      <c r="L26" s="76">
        <f t="shared" si="0"/>
        <v>0.4838838786590145</v>
      </c>
      <c r="M26" s="237"/>
      <c r="N26" s="81"/>
    </row>
    <row r="27" spans="1:14" s="13" customFormat="1" ht="21" thickBot="1" thickTop="1">
      <c r="A27" s="14">
        <v>7</v>
      </c>
      <c r="B27" s="210" t="s">
        <v>67</v>
      </c>
      <c r="C27" s="47">
        <f>'МРСК 2'!C27</f>
        <v>1.6</v>
      </c>
      <c r="D27" s="47">
        <v>868</v>
      </c>
      <c r="E27" s="47">
        <v>280</v>
      </c>
      <c r="F27" s="119">
        <f t="shared" si="1"/>
        <v>0.9120438585945305</v>
      </c>
      <c r="G27" s="15">
        <v>0.6464</v>
      </c>
      <c r="H27" s="16">
        <v>45</v>
      </c>
      <c r="I27" s="15">
        <f t="shared" si="2"/>
        <v>0.6464</v>
      </c>
      <c r="J27" s="15">
        <v>0</v>
      </c>
      <c r="K27" s="31">
        <f t="shared" si="3"/>
        <v>0.6464</v>
      </c>
      <c r="L27" s="46">
        <f t="shared" si="0"/>
        <v>-0.26564385859453055</v>
      </c>
      <c r="M27" s="46">
        <f>L27</f>
        <v>-0.26564385859453055</v>
      </c>
      <c r="N27" s="34"/>
    </row>
    <row r="28" spans="1:14" s="13" customFormat="1" ht="20.25" thickBot="1">
      <c r="A28" s="14">
        <v>8</v>
      </c>
      <c r="B28" s="210" t="s">
        <v>68</v>
      </c>
      <c r="C28" s="47">
        <f>'МРСК 2'!C28</f>
        <v>1.6</v>
      </c>
      <c r="D28" s="47">
        <v>576</v>
      </c>
      <c r="E28" s="47">
        <v>192</v>
      </c>
      <c r="F28" s="119">
        <f t="shared" si="1"/>
        <v>0.6071573107523288</v>
      </c>
      <c r="G28" s="15">
        <v>0.6835</v>
      </c>
      <c r="H28" s="16">
        <v>45</v>
      </c>
      <c r="I28" s="15">
        <f t="shared" si="2"/>
        <v>0.6835</v>
      </c>
      <c r="J28" s="15">
        <v>0</v>
      </c>
      <c r="K28" s="31">
        <f t="shared" si="3"/>
        <v>0.6835</v>
      </c>
      <c r="L28" s="46">
        <f t="shared" si="0"/>
        <v>0.07634268924767118</v>
      </c>
      <c r="M28" s="46">
        <f aca="true" t="shared" si="4" ref="M28:M49">L28</f>
        <v>0.07634268924767118</v>
      </c>
      <c r="N28" s="34"/>
    </row>
    <row r="29" spans="1:14" s="13" customFormat="1" ht="20.25" thickBot="1">
      <c r="A29" s="14">
        <v>9</v>
      </c>
      <c r="B29" s="210" t="s">
        <v>69</v>
      </c>
      <c r="C29" s="47">
        <f>'МРСК 2'!C29</f>
        <v>1.6</v>
      </c>
      <c r="D29" s="47">
        <v>432</v>
      </c>
      <c r="E29" s="47">
        <v>234</v>
      </c>
      <c r="F29" s="119">
        <f t="shared" si="1"/>
        <v>0.4913043863024225</v>
      </c>
      <c r="G29" s="15">
        <v>0</v>
      </c>
      <c r="H29" s="16">
        <v>20</v>
      </c>
      <c r="I29" s="15">
        <f t="shared" si="2"/>
        <v>0</v>
      </c>
      <c r="J29" s="15">
        <v>0</v>
      </c>
      <c r="K29" s="31">
        <f t="shared" si="3"/>
        <v>0</v>
      </c>
      <c r="L29" s="46">
        <f t="shared" si="0"/>
        <v>-0.4913043863024225</v>
      </c>
      <c r="M29" s="46">
        <f t="shared" si="4"/>
        <v>-0.4913043863024225</v>
      </c>
      <c r="N29" s="34"/>
    </row>
    <row r="30" spans="1:14" s="13" customFormat="1" ht="20.25" thickBot="1">
      <c r="A30" s="14">
        <v>10</v>
      </c>
      <c r="B30" s="210" t="s">
        <v>70</v>
      </c>
      <c r="C30" s="47">
        <f>'МРСК 2'!C30</f>
        <v>4</v>
      </c>
      <c r="D30" s="47">
        <v>3792</v>
      </c>
      <c r="E30" s="47">
        <v>1440</v>
      </c>
      <c r="F30" s="119">
        <f t="shared" si="1"/>
        <v>4.0562130121580156</v>
      </c>
      <c r="G30" s="15">
        <v>2.64</v>
      </c>
      <c r="H30" s="16">
        <v>80</v>
      </c>
      <c r="I30" s="15">
        <f t="shared" si="2"/>
        <v>2.64</v>
      </c>
      <c r="J30" s="15">
        <v>0</v>
      </c>
      <c r="K30" s="31">
        <f t="shared" si="3"/>
        <v>2.64</v>
      </c>
      <c r="L30" s="46">
        <f t="shared" si="0"/>
        <v>-1.4162130121580154</v>
      </c>
      <c r="M30" s="46">
        <f t="shared" si="4"/>
        <v>-1.4162130121580154</v>
      </c>
      <c r="N30" s="34"/>
    </row>
    <row r="31" spans="1:14" s="13" customFormat="1" ht="20.25" thickBot="1">
      <c r="A31" s="14">
        <v>11</v>
      </c>
      <c r="B31" s="210" t="s">
        <v>71</v>
      </c>
      <c r="C31" s="47">
        <f>'МРСК 2'!C31</f>
        <v>1.6</v>
      </c>
      <c r="D31" s="47">
        <v>606</v>
      </c>
      <c r="E31" s="47">
        <v>264</v>
      </c>
      <c r="F31" s="119">
        <f t="shared" si="1"/>
        <v>0.6610083206738021</v>
      </c>
      <c r="G31" s="15">
        <v>1.05</v>
      </c>
      <c r="H31" s="16">
        <v>80</v>
      </c>
      <c r="I31" s="15">
        <f t="shared" si="2"/>
        <v>1.05</v>
      </c>
      <c r="J31" s="15">
        <v>0</v>
      </c>
      <c r="K31" s="31">
        <f t="shared" si="3"/>
        <v>1.05</v>
      </c>
      <c r="L31" s="46">
        <f t="shared" si="0"/>
        <v>0.38899167932619794</v>
      </c>
      <c r="M31" s="46">
        <f t="shared" si="4"/>
        <v>0.38899167932619794</v>
      </c>
      <c r="N31" s="34"/>
    </row>
    <row r="32" spans="1:14" s="13" customFormat="1" ht="20.25" thickBot="1">
      <c r="A32" s="14">
        <v>12</v>
      </c>
      <c r="B32" s="210" t="s">
        <v>72</v>
      </c>
      <c r="C32" s="47">
        <f>'МРСК 2'!C32</f>
        <v>1.6</v>
      </c>
      <c r="D32" s="47">
        <v>14</v>
      </c>
      <c r="E32" s="47">
        <v>14</v>
      </c>
      <c r="F32" s="119">
        <f t="shared" si="1"/>
        <v>0.01979898987322333</v>
      </c>
      <c r="G32" s="15">
        <v>0</v>
      </c>
      <c r="H32" s="16"/>
      <c r="I32" s="15">
        <f t="shared" si="2"/>
        <v>0</v>
      </c>
      <c r="J32" s="15">
        <v>0</v>
      </c>
      <c r="K32" s="31">
        <f t="shared" si="3"/>
        <v>0</v>
      </c>
      <c r="L32" s="46">
        <f t="shared" si="0"/>
        <v>-0.01979898987322333</v>
      </c>
      <c r="M32" s="46">
        <f t="shared" si="4"/>
        <v>-0.01979898987322333</v>
      </c>
      <c r="N32" s="34"/>
    </row>
    <row r="33" spans="1:14" s="13" customFormat="1" ht="20.25" thickBot="1">
      <c r="A33" s="14">
        <v>13</v>
      </c>
      <c r="B33" s="210" t="s">
        <v>73</v>
      </c>
      <c r="C33" s="47">
        <f>'МРСК 2'!C33</f>
        <v>2.5</v>
      </c>
      <c r="D33" s="47">
        <v>360</v>
      </c>
      <c r="E33" s="47">
        <v>112</v>
      </c>
      <c r="F33" s="119">
        <f t="shared" si="1"/>
        <v>0.3770198933743417</v>
      </c>
      <c r="G33" s="15">
        <v>0</v>
      </c>
      <c r="H33" s="16"/>
      <c r="I33" s="15">
        <f t="shared" si="2"/>
        <v>0</v>
      </c>
      <c r="J33" s="15">
        <v>0</v>
      </c>
      <c r="K33" s="31">
        <f t="shared" si="3"/>
        <v>0</v>
      </c>
      <c r="L33" s="46">
        <f t="shared" si="0"/>
        <v>-0.3770198933743417</v>
      </c>
      <c r="M33" s="46">
        <f t="shared" si="4"/>
        <v>-0.3770198933743417</v>
      </c>
      <c r="N33" s="34"/>
    </row>
    <row r="34" spans="1:14" s="13" customFormat="1" ht="20.25" thickBot="1">
      <c r="A34" s="14">
        <v>14</v>
      </c>
      <c r="B34" s="210" t="s">
        <v>74</v>
      </c>
      <c r="C34" s="47">
        <f>'МРСК 2'!C34</f>
        <v>2.5</v>
      </c>
      <c r="D34" s="47">
        <v>992</v>
      </c>
      <c r="E34" s="47">
        <v>392</v>
      </c>
      <c r="F34" s="119">
        <f t="shared" si="1"/>
        <v>1.0666433330781195</v>
      </c>
      <c r="G34" s="15">
        <v>0.541</v>
      </c>
      <c r="H34" s="16">
        <v>45</v>
      </c>
      <c r="I34" s="15">
        <f t="shared" si="2"/>
        <v>0.541</v>
      </c>
      <c r="J34" s="15">
        <v>0</v>
      </c>
      <c r="K34" s="31">
        <f t="shared" si="3"/>
        <v>0.541</v>
      </c>
      <c r="L34" s="46">
        <f t="shared" si="0"/>
        <v>-0.5256433330781195</v>
      </c>
      <c r="M34" s="46">
        <f t="shared" si="4"/>
        <v>-0.5256433330781195</v>
      </c>
      <c r="N34" s="34"/>
    </row>
    <row r="35" spans="1:14" s="13" customFormat="1" ht="20.25" thickBot="1">
      <c r="A35" s="14">
        <v>15</v>
      </c>
      <c r="B35" s="210" t="s">
        <v>75</v>
      </c>
      <c r="C35" s="47">
        <f>'МРСК 2'!C35</f>
        <v>2.5</v>
      </c>
      <c r="D35" s="47">
        <v>2000</v>
      </c>
      <c r="E35" s="47">
        <v>624</v>
      </c>
      <c r="F35" s="119">
        <f t="shared" si="1"/>
        <v>2.095083769208286</v>
      </c>
      <c r="G35" s="15">
        <v>1.6626</v>
      </c>
      <c r="H35" s="16">
        <v>45</v>
      </c>
      <c r="I35" s="15">
        <f t="shared" si="2"/>
        <v>1.6626</v>
      </c>
      <c r="J35" s="15">
        <v>0</v>
      </c>
      <c r="K35" s="31">
        <f t="shared" si="3"/>
        <v>1.6626</v>
      </c>
      <c r="L35" s="46">
        <f t="shared" si="0"/>
        <v>-0.43248376920828613</v>
      </c>
      <c r="M35" s="46">
        <f t="shared" si="4"/>
        <v>-0.43248376920828613</v>
      </c>
      <c r="N35" s="34"/>
    </row>
    <row r="36" spans="1:14" s="13" customFormat="1" ht="20.25" thickBot="1">
      <c r="A36" s="14">
        <v>16</v>
      </c>
      <c r="B36" s="210" t="s">
        <v>76</v>
      </c>
      <c r="C36" s="47">
        <f>'МРСК 2'!C36</f>
        <v>2.5</v>
      </c>
      <c r="D36" s="47">
        <v>1584</v>
      </c>
      <c r="E36" s="47">
        <v>492</v>
      </c>
      <c r="F36" s="119">
        <f t="shared" si="1"/>
        <v>1.6586500535073696</v>
      </c>
      <c r="G36" s="15">
        <v>1.55</v>
      </c>
      <c r="H36" s="16">
        <v>45</v>
      </c>
      <c r="I36" s="15">
        <f t="shared" si="2"/>
        <v>1.55</v>
      </c>
      <c r="J36" s="15">
        <v>0</v>
      </c>
      <c r="K36" s="31">
        <f t="shared" si="3"/>
        <v>1.55</v>
      </c>
      <c r="L36" s="46">
        <f t="shared" si="0"/>
        <v>-0.10865005350736956</v>
      </c>
      <c r="M36" s="46">
        <f t="shared" si="4"/>
        <v>-0.10865005350736956</v>
      </c>
      <c r="N36" s="34"/>
    </row>
    <row r="37" spans="1:14" s="13" customFormat="1" ht="20.25" thickBot="1">
      <c r="A37" s="14">
        <v>17</v>
      </c>
      <c r="B37" s="210" t="s">
        <v>77</v>
      </c>
      <c r="C37" s="47">
        <f>'МРСК 2'!C37</f>
        <v>1.6</v>
      </c>
      <c r="D37" s="47">
        <v>384</v>
      </c>
      <c r="E37" s="47">
        <v>144</v>
      </c>
      <c r="F37" s="119">
        <f t="shared" si="1"/>
        <v>0.4101121797752415</v>
      </c>
      <c r="G37" s="15">
        <v>0.4101</v>
      </c>
      <c r="H37" s="16">
        <v>80</v>
      </c>
      <c r="I37" s="15">
        <f t="shared" si="2"/>
        <v>0.4101</v>
      </c>
      <c r="J37" s="15">
        <v>0</v>
      </c>
      <c r="K37" s="31">
        <f t="shared" si="3"/>
        <v>0.4101</v>
      </c>
      <c r="L37" s="46">
        <f t="shared" si="0"/>
        <v>-1.217977524148317E-05</v>
      </c>
      <c r="M37" s="46">
        <f t="shared" si="4"/>
        <v>-1.217977524148317E-05</v>
      </c>
      <c r="N37" s="34"/>
    </row>
    <row r="38" spans="1:14" s="13" customFormat="1" ht="20.25" thickBot="1">
      <c r="A38" s="14">
        <v>18</v>
      </c>
      <c r="B38" s="210" t="s">
        <v>78</v>
      </c>
      <c r="C38" s="47">
        <f>'МРСК 2'!C38</f>
        <v>2.5</v>
      </c>
      <c r="D38" s="47">
        <v>384</v>
      </c>
      <c r="E38" s="47">
        <v>160</v>
      </c>
      <c r="F38" s="119">
        <f t="shared" si="1"/>
        <v>0.416</v>
      </c>
      <c r="G38" s="15">
        <v>0.407</v>
      </c>
      <c r="H38" s="16">
        <v>20</v>
      </c>
      <c r="I38" s="15">
        <f t="shared" si="2"/>
        <v>0.407</v>
      </c>
      <c r="J38" s="15">
        <v>0</v>
      </c>
      <c r="K38" s="31">
        <f t="shared" si="3"/>
        <v>0.407</v>
      </c>
      <c r="L38" s="46">
        <f t="shared" si="0"/>
        <v>-0.009000000000000008</v>
      </c>
      <c r="M38" s="46">
        <f t="shared" si="4"/>
        <v>-0.009000000000000008</v>
      </c>
      <c r="N38" s="34"/>
    </row>
    <row r="39" spans="1:14" s="13" customFormat="1" ht="20.25" thickBot="1">
      <c r="A39" s="14">
        <v>19</v>
      </c>
      <c r="B39" s="210" t="s">
        <v>79</v>
      </c>
      <c r="C39" s="47">
        <f>'МРСК 2'!C39</f>
        <v>2.5</v>
      </c>
      <c r="D39" s="47">
        <v>1296</v>
      </c>
      <c r="E39" s="47">
        <v>648</v>
      </c>
      <c r="F39" s="119">
        <f t="shared" si="1"/>
        <v>1.4489720494198637</v>
      </c>
      <c r="G39" s="15">
        <v>1.38</v>
      </c>
      <c r="H39" s="16">
        <v>120</v>
      </c>
      <c r="I39" s="15">
        <f t="shared" si="2"/>
        <v>1.38</v>
      </c>
      <c r="J39" s="15">
        <v>0</v>
      </c>
      <c r="K39" s="31">
        <f t="shared" si="3"/>
        <v>1.38</v>
      </c>
      <c r="L39" s="46">
        <f t="shared" si="0"/>
        <v>-0.06897204941986379</v>
      </c>
      <c r="M39" s="46">
        <f t="shared" si="4"/>
        <v>-0.06897204941986379</v>
      </c>
      <c r="N39" s="34"/>
    </row>
    <row r="40" spans="1:14" s="13" customFormat="1" ht="20.25" thickBot="1">
      <c r="A40" s="14">
        <v>20</v>
      </c>
      <c r="B40" s="210" t="s">
        <v>80</v>
      </c>
      <c r="C40" s="47">
        <f>'МРСК 2'!C40</f>
        <v>2.5</v>
      </c>
      <c r="D40" s="47">
        <v>1336</v>
      </c>
      <c r="E40" s="47">
        <v>432</v>
      </c>
      <c r="F40" s="119">
        <f t="shared" si="1"/>
        <v>1.4041082579345512</v>
      </c>
      <c r="G40" s="15">
        <v>1.54</v>
      </c>
      <c r="H40" s="16">
        <v>45</v>
      </c>
      <c r="I40" s="15">
        <f t="shared" si="2"/>
        <v>1.54</v>
      </c>
      <c r="J40" s="15">
        <v>0</v>
      </c>
      <c r="K40" s="31">
        <f t="shared" si="3"/>
        <v>1.54</v>
      </c>
      <c r="L40" s="46">
        <f t="shared" si="0"/>
        <v>0.13589174206544885</v>
      </c>
      <c r="M40" s="46">
        <f t="shared" si="4"/>
        <v>0.13589174206544885</v>
      </c>
      <c r="N40" s="34"/>
    </row>
    <row r="41" spans="1:14" s="13" customFormat="1" ht="20.25" thickBot="1">
      <c r="A41" s="14">
        <v>21</v>
      </c>
      <c r="B41" s="210" t="s">
        <v>81</v>
      </c>
      <c r="C41" s="47">
        <f>'МРСК 2'!C41</f>
        <v>2.5</v>
      </c>
      <c r="D41" s="47">
        <v>664</v>
      </c>
      <c r="E41" s="47">
        <v>288</v>
      </c>
      <c r="F41" s="119">
        <f t="shared" si="1"/>
        <v>0.7237679186037469</v>
      </c>
      <c r="G41" s="15">
        <v>0.6647</v>
      </c>
      <c r="H41" s="16">
        <v>45</v>
      </c>
      <c r="I41" s="15">
        <f t="shared" si="2"/>
        <v>0.6647</v>
      </c>
      <c r="J41" s="15">
        <v>0</v>
      </c>
      <c r="K41" s="31">
        <f t="shared" si="3"/>
        <v>0.6647</v>
      </c>
      <c r="L41" s="46">
        <f t="shared" si="0"/>
        <v>-0.05906791860374694</v>
      </c>
      <c r="M41" s="46">
        <f t="shared" si="4"/>
        <v>-0.05906791860374694</v>
      </c>
      <c r="N41" s="34"/>
    </row>
    <row r="42" spans="1:14" s="13" customFormat="1" ht="20.25" thickBot="1">
      <c r="A42" s="14">
        <v>22</v>
      </c>
      <c r="B42" s="210" t="s">
        <v>82</v>
      </c>
      <c r="C42" s="47">
        <f>'МРСК 2'!C42</f>
        <v>4</v>
      </c>
      <c r="D42" s="47">
        <v>1776</v>
      </c>
      <c r="E42" s="47">
        <v>396</v>
      </c>
      <c r="F42" s="119">
        <f t="shared" si="1"/>
        <v>1.8196131456988323</v>
      </c>
      <c r="G42" s="15">
        <v>0.78</v>
      </c>
      <c r="H42" s="16">
        <v>120</v>
      </c>
      <c r="I42" s="15">
        <f t="shared" si="2"/>
        <v>0.78</v>
      </c>
      <c r="J42" s="15">
        <v>0</v>
      </c>
      <c r="K42" s="31">
        <f t="shared" si="3"/>
        <v>0.78</v>
      </c>
      <c r="L42" s="46">
        <f t="shared" si="0"/>
        <v>-1.0396131456988322</v>
      </c>
      <c r="M42" s="46">
        <f t="shared" si="4"/>
        <v>-1.0396131456988322</v>
      </c>
      <c r="N42" s="34"/>
    </row>
    <row r="43" spans="1:14" s="13" customFormat="1" ht="20.25" thickBot="1">
      <c r="A43" s="14">
        <v>23</v>
      </c>
      <c r="B43" s="210" t="s">
        <v>83</v>
      </c>
      <c r="C43" s="47">
        <f>'МРСК 2'!C43</f>
        <v>4</v>
      </c>
      <c r="D43" s="47">
        <v>708</v>
      </c>
      <c r="E43" s="47">
        <v>300</v>
      </c>
      <c r="F43" s="119">
        <f t="shared" si="1"/>
        <v>0.7689369284928381</v>
      </c>
      <c r="G43" s="15">
        <v>0.722</v>
      </c>
      <c r="H43" s="16">
        <v>45</v>
      </c>
      <c r="I43" s="15">
        <f t="shared" si="2"/>
        <v>0.722</v>
      </c>
      <c r="J43" s="15">
        <v>0</v>
      </c>
      <c r="K43" s="31">
        <f t="shared" si="3"/>
        <v>0.722</v>
      </c>
      <c r="L43" s="46">
        <f t="shared" si="0"/>
        <v>-0.04693692849283815</v>
      </c>
      <c r="M43" s="46">
        <f t="shared" si="4"/>
        <v>-0.04693692849283815</v>
      </c>
      <c r="N43" s="34"/>
    </row>
    <row r="44" spans="1:14" s="13" customFormat="1" ht="20.25" thickBot="1">
      <c r="A44" s="14">
        <v>24</v>
      </c>
      <c r="B44" s="210" t="s">
        <v>84</v>
      </c>
      <c r="C44" s="47">
        <f>'МРСК 2'!C44</f>
        <v>4</v>
      </c>
      <c r="D44" s="47">
        <v>2441</v>
      </c>
      <c r="E44" s="47">
        <v>768</v>
      </c>
      <c r="F44" s="119">
        <f t="shared" si="1"/>
        <v>2.558965611335956</v>
      </c>
      <c r="G44" s="15">
        <v>1.84</v>
      </c>
      <c r="H44" s="16">
        <v>80</v>
      </c>
      <c r="I44" s="15">
        <f t="shared" si="2"/>
        <v>1.84</v>
      </c>
      <c r="J44" s="15">
        <v>0</v>
      </c>
      <c r="K44" s="31">
        <f t="shared" si="3"/>
        <v>1.84</v>
      </c>
      <c r="L44" s="46">
        <f t="shared" si="0"/>
        <v>-0.7189656113359557</v>
      </c>
      <c r="M44" s="46">
        <f t="shared" si="4"/>
        <v>-0.7189656113359557</v>
      </c>
      <c r="N44" s="34"/>
    </row>
    <row r="45" spans="1:14" s="13" customFormat="1" ht="20.25" thickBot="1">
      <c r="A45" s="14">
        <v>25</v>
      </c>
      <c r="B45" s="210" t="s">
        <v>85</v>
      </c>
      <c r="C45" s="47">
        <f>'МРСК 2'!C45</f>
        <v>2.5</v>
      </c>
      <c r="D45" s="47">
        <v>94</v>
      </c>
      <c r="E45" s="47">
        <v>151</v>
      </c>
      <c r="F45" s="119">
        <f t="shared" si="1"/>
        <v>0.17786792853125602</v>
      </c>
      <c r="G45" s="15">
        <v>1.676</v>
      </c>
      <c r="H45" s="16">
        <v>80</v>
      </c>
      <c r="I45" s="15">
        <f t="shared" si="2"/>
        <v>1.676</v>
      </c>
      <c r="J45" s="15">
        <v>0</v>
      </c>
      <c r="K45" s="31">
        <f t="shared" si="3"/>
        <v>1.676</v>
      </c>
      <c r="L45" s="46">
        <f t="shared" si="0"/>
        <v>1.4981320714687438</v>
      </c>
      <c r="M45" s="46">
        <f t="shared" si="4"/>
        <v>1.4981320714687438</v>
      </c>
      <c r="N45" s="34"/>
    </row>
    <row r="46" spans="1:14" s="13" customFormat="1" ht="20.25" thickBot="1">
      <c r="A46" s="14">
        <v>26</v>
      </c>
      <c r="B46" s="210" t="s">
        <v>86</v>
      </c>
      <c r="C46" s="47">
        <f>'МРСК 2'!C46</f>
        <v>2.5</v>
      </c>
      <c r="D46" s="47">
        <v>616</v>
      </c>
      <c r="E46" s="47">
        <v>304</v>
      </c>
      <c r="F46" s="119">
        <f t="shared" si="1"/>
        <v>0.6869293995746578</v>
      </c>
      <c r="G46" s="15">
        <v>0.6872</v>
      </c>
      <c r="H46" s="16">
        <v>45</v>
      </c>
      <c r="I46" s="15">
        <f t="shared" si="2"/>
        <v>0.6872</v>
      </c>
      <c r="J46" s="15">
        <v>0</v>
      </c>
      <c r="K46" s="31">
        <f t="shared" si="3"/>
        <v>0.6872</v>
      </c>
      <c r="L46" s="46">
        <f t="shared" si="0"/>
        <v>0.0002706004253422156</v>
      </c>
      <c r="M46" s="46">
        <f t="shared" si="4"/>
        <v>0.0002706004253422156</v>
      </c>
      <c r="N46" s="34"/>
    </row>
    <row r="47" spans="1:14" s="13" customFormat="1" ht="20.25" thickBot="1">
      <c r="A47" s="14">
        <v>27</v>
      </c>
      <c r="B47" s="210" t="s">
        <v>87</v>
      </c>
      <c r="C47" s="47">
        <f>'МРСК 2'!C47</f>
        <v>2.5</v>
      </c>
      <c r="D47" s="47">
        <v>688</v>
      </c>
      <c r="E47" s="47">
        <v>244</v>
      </c>
      <c r="F47" s="119">
        <f t="shared" si="1"/>
        <v>0.7299863012413315</v>
      </c>
      <c r="G47" s="15">
        <v>0.7238</v>
      </c>
      <c r="H47" s="16">
        <v>120</v>
      </c>
      <c r="I47" s="15">
        <f t="shared" si="2"/>
        <v>0.7238</v>
      </c>
      <c r="J47" s="15">
        <v>0</v>
      </c>
      <c r="K47" s="31">
        <f t="shared" si="3"/>
        <v>0.7238</v>
      </c>
      <c r="L47" s="46">
        <f t="shared" si="0"/>
        <v>-0.00618630124133146</v>
      </c>
      <c r="M47" s="46">
        <f t="shared" si="4"/>
        <v>-0.00618630124133146</v>
      </c>
      <c r="N47" s="34"/>
    </row>
    <row r="48" spans="1:14" s="13" customFormat="1" ht="20.25" thickBot="1">
      <c r="A48" s="14">
        <v>28</v>
      </c>
      <c r="B48" s="210" t="s">
        <v>89</v>
      </c>
      <c r="C48" s="47">
        <f>'МРСК 2'!C48</f>
        <v>2.5</v>
      </c>
      <c r="D48" s="47">
        <v>660</v>
      </c>
      <c r="E48" s="47">
        <v>304</v>
      </c>
      <c r="F48" s="119">
        <f t="shared" si="1"/>
        <v>0.7266470945376442</v>
      </c>
      <c r="G48" s="15">
        <v>0.6797</v>
      </c>
      <c r="H48" s="16">
        <v>120</v>
      </c>
      <c r="I48" s="15">
        <f t="shared" si="2"/>
        <v>0.6797</v>
      </c>
      <c r="J48" s="15">
        <v>0</v>
      </c>
      <c r="K48" s="31">
        <f t="shared" si="3"/>
        <v>0.6797</v>
      </c>
      <c r="L48" s="46">
        <f t="shared" si="0"/>
        <v>-0.04694709453764423</v>
      </c>
      <c r="M48" s="46">
        <f t="shared" si="4"/>
        <v>-0.04694709453764423</v>
      </c>
      <c r="N48" s="34"/>
    </row>
    <row r="49" spans="1:14" s="13" customFormat="1" ht="20.25" thickBot="1">
      <c r="A49" s="39">
        <v>29</v>
      </c>
      <c r="B49" s="210" t="s">
        <v>88</v>
      </c>
      <c r="C49" s="26">
        <f>'МРСК 2'!C49</f>
        <v>2.5</v>
      </c>
      <c r="D49" s="26">
        <v>1112</v>
      </c>
      <c r="E49" s="26">
        <v>288</v>
      </c>
      <c r="F49" s="119">
        <f t="shared" si="1"/>
        <v>1.1486896882970614</v>
      </c>
      <c r="G49" s="28">
        <v>1</v>
      </c>
      <c r="H49" s="110">
        <v>80</v>
      </c>
      <c r="I49" s="28">
        <f t="shared" si="2"/>
        <v>1</v>
      </c>
      <c r="J49" s="28">
        <v>0</v>
      </c>
      <c r="K49" s="31">
        <f t="shared" si="3"/>
        <v>1</v>
      </c>
      <c r="L49" s="27">
        <f t="shared" si="0"/>
        <v>-0.14868968829706142</v>
      </c>
      <c r="M49" s="27">
        <f t="shared" si="4"/>
        <v>-0.14868968829706142</v>
      </c>
      <c r="N49" s="42"/>
    </row>
    <row r="50" spans="1:14" s="13" customFormat="1" ht="20.25" thickBot="1">
      <c r="A50" s="32" t="s">
        <v>90</v>
      </c>
      <c r="B50" s="107"/>
      <c r="C50" s="107"/>
      <c r="D50" s="107"/>
      <c r="E50" s="107"/>
      <c r="F50" s="118"/>
      <c r="G50" s="107"/>
      <c r="H50" s="107"/>
      <c r="I50" s="107"/>
      <c r="J50" s="107"/>
      <c r="K50" s="107"/>
      <c r="L50" s="107"/>
      <c r="M50" s="107"/>
      <c r="N50" s="108"/>
    </row>
    <row r="51" spans="1:19" s="13" customFormat="1" ht="39.75" thickBot="1">
      <c r="A51" s="37">
        <v>30</v>
      </c>
      <c r="B51" s="210" t="s">
        <v>91</v>
      </c>
      <c r="C51" s="30" t="str">
        <f>'МРСК 2'!C51</f>
        <v>16+16</v>
      </c>
      <c r="D51" s="30">
        <v>13361</v>
      </c>
      <c r="E51" s="30">
        <v>7836</v>
      </c>
      <c r="F51" s="120">
        <f t="shared" si="1"/>
        <v>15.489325905280708</v>
      </c>
      <c r="G51" s="105">
        <v>3.561</v>
      </c>
      <c r="H51" s="43">
        <v>45</v>
      </c>
      <c r="I51" s="105">
        <f aca="true" t="shared" si="5" ref="I51:I116">F51-G51</f>
        <v>11.928325905280708</v>
      </c>
      <c r="J51" s="31">
        <v>0</v>
      </c>
      <c r="K51" s="45">
        <f>O51*P51</f>
        <v>16.8</v>
      </c>
      <c r="L51" s="105">
        <f>K51-J51-I51</f>
        <v>4.8716740947192925</v>
      </c>
      <c r="M51" s="105">
        <f>L51</f>
        <v>4.8716740947192925</v>
      </c>
      <c r="N51" s="44"/>
      <c r="O51" s="13">
        <v>1.05</v>
      </c>
      <c r="P51" s="30">
        <v>16</v>
      </c>
      <c r="R51" s="13" t="s">
        <v>241</v>
      </c>
      <c r="S51" s="13">
        <v>9.979203593590183</v>
      </c>
    </row>
    <row r="52" spans="1:19" s="13" customFormat="1" ht="20.25" thickTop="1">
      <c r="A52" s="82">
        <v>31</v>
      </c>
      <c r="B52" s="210" t="s">
        <v>92</v>
      </c>
      <c r="C52" s="84" t="str">
        <f>'МРСК 2'!C52</f>
        <v>16+10</v>
      </c>
      <c r="D52" s="84">
        <f>D53+D54</f>
        <v>9152</v>
      </c>
      <c r="E52" s="84">
        <f>E53+E54</f>
        <v>3513</v>
      </c>
      <c r="F52" s="120">
        <f t="shared" si="1"/>
        <v>9.803074670734688</v>
      </c>
      <c r="G52" s="85">
        <v>8.95</v>
      </c>
      <c r="H52" s="86">
        <v>120</v>
      </c>
      <c r="I52" s="87">
        <f t="shared" si="5"/>
        <v>0.8530746707346886</v>
      </c>
      <c r="J52" s="87">
        <v>0</v>
      </c>
      <c r="K52" s="87">
        <f aca="true" t="shared" si="6" ref="K52:K108">O52*P52</f>
        <v>10.5</v>
      </c>
      <c r="L52" s="103">
        <f aca="true" t="shared" si="7" ref="L52:L108">K52-J52-I52</f>
        <v>9.646925329265311</v>
      </c>
      <c r="M52" s="238">
        <f>MIN(L52:L54)</f>
        <v>9.641567696789767</v>
      </c>
      <c r="N52" s="88"/>
      <c r="O52" s="13">
        <v>1.05</v>
      </c>
      <c r="P52" s="47">
        <v>10</v>
      </c>
      <c r="R52" s="13" t="s">
        <v>242</v>
      </c>
      <c r="S52" s="13">
        <v>8.44082047746484</v>
      </c>
    </row>
    <row r="53" spans="1:19" s="13" customFormat="1" ht="19.5">
      <c r="A53" s="14"/>
      <c r="B53" s="210" t="s">
        <v>59</v>
      </c>
      <c r="C53" s="8" t="str">
        <f>'МРСК 2'!C53</f>
        <v>16+10</v>
      </c>
      <c r="D53" s="8">
        <v>7582</v>
      </c>
      <c r="E53" s="8">
        <v>2985</v>
      </c>
      <c r="F53" s="120">
        <f t="shared" si="1"/>
        <v>8.148432303210232</v>
      </c>
      <c r="G53" s="33">
        <v>7.29</v>
      </c>
      <c r="H53" s="47"/>
      <c r="I53" s="15">
        <f t="shared" si="5"/>
        <v>0.8584323032102317</v>
      </c>
      <c r="J53" s="15">
        <v>0</v>
      </c>
      <c r="K53" s="31">
        <f t="shared" si="6"/>
        <v>10.5</v>
      </c>
      <c r="L53" s="46">
        <f t="shared" si="7"/>
        <v>9.641567696789767</v>
      </c>
      <c r="M53" s="236"/>
      <c r="N53" s="34"/>
      <c r="O53" s="13">
        <v>1.05</v>
      </c>
      <c r="P53" s="47">
        <v>10</v>
      </c>
      <c r="R53" s="13" t="s">
        <v>244</v>
      </c>
      <c r="S53" s="13">
        <v>12.533982580510479</v>
      </c>
    </row>
    <row r="54" spans="1:19" s="13" customFormat="1" ht="20.25" thickBot="1">
      <c r="A54" s="74"/>
      <c r="B54" s="210" t="s">
        <v>60</v>
      </c>
      <c r="C54" s="75" t="str">
        <f>'МРСК 2'!C54</f>
        <v>16+10</v>
      </c>
      <c r="D54" s="75">
        <v>1570</v>
      </c>
      <c r="E54" s="75">
        <v>528</v>
      </c>
      <c r="F54" s="120">
        <f t="shared" si="1"/>
        <v>1.6564069548272249</v>
      </c>
      <c r="G54" s="77">
        <v>1.6599999999999993</v>
      </c>
      <c r="H54" s="78"/>
      <c r="I54" s="79">
        <f t="shared" si="5"/>
        <v>-0.0035930451727743673</v>
      </c>
      <c r="J54" s="79">
        <v>0</v>
      </c>
      <c r="K54" s="80">
        <f t="shared" si="6"/>
        <v>10.5</v>
      </c>
      <c r="L54" s="76">
        <f t="shared" si="7"/>
        <v>10.503593045172774</v>
      </c>
      <c r="M54" s="237"/>
      <c r="N54" s="81"/>
      <c r="O54" s="13">
        <v>1.05</v>
      </c>
      <c r="P54" s="47">
        <v>10</v>
      </c>
      <c r="R54" s="13" t="s">
        <v>243</v>
      </c>
      <c r="S54" s="13">
        <v>44.063198557802174</v>
      </c>
    </row>
    <row r="55" spans="1:19" s="13" customFormat="1" ht="20.25" thickTop="1">
      <c r="A55" s="82">
        <v>32</v>
      </c>
      <c r="B55" s="210" t="s">
        <v>93</v>
      </c>
      <c r="C55" s="84" t="str">
        <f>'МРСК 2'!C55</f>
        <v>16+16</v>
      </c>
      <c r="D55" s="84">
        <f>D56+D57</f>
        <v>12411</v>
      </c>
      <c r="E55" s="84">
        <f>E56+E57</f>
        <v>4290</v>
      </c>
      <c r="F55" s="120">
        <f t="shared" si="1"/>
        <v>13.131527748133498</v>
      </c>
      <c r="G55" s="85">
        <v>8.37</v>
      </c>
      <c r="H55" s="86">
        <v>80</v>
      </c>
      <c r="I55" s="87">
        <f t="shared" si="5"/>
        <v>4.761527748133499</v>
      </c>
      <c r="J55" s="87">
        <v>0</v>
      </c>
      <c r="K55" s="87">
        <f t="shared" si="6"/>
        <v>16.8</v>
      </c>
      <c r="L55" s="103">
        <f t="shared" si="7"/>
        <v>12.038472251866501</v>
      </c>
      <c r="M55" s="238">
        <f>MIN(L55:L57)</f>
        <v>12.038472251866501</v>
      </c>
      <c r="N55" s="88"/>
      <c r="O55" s="13">
        <v>1.05</v>
      </c>
      <c r="P55" s="47">
        <v>16</v>
      </c>
      <c r="R55" s="13" t="s">
        <v>245</v>
      </c>
      <c r="S55" s="13">
        <v>9.383</v>
      </c>
    </row>
    <row r="56" spans="1:19" s="13" customFormat="1" ht="19.5">
      <c r="A56" s="14"/>
      <c r="B56" s="210" t="s">
        <v>59</v>
      </c>
      <c r="C56" s="8" t="str">
        <f>'МРСК 2'!C56</f>
        <v>16+16</v>
      </c>
      <c r="D56" s="8">
        <v>6573</v>
      </c>
      <c r="E56" s="8">
        <v>2264</v>
      </c>
      <c r="F56" s="120">
        <f t="shared" si="1"/>
        <v>6.951979933803032</v>
      </c>
      <c r="G56" s="33">
        <v>6.697</v>
      </c>
      <c r="H56" s="47"/>
      <c r="I56" s="15">
        <f t="shared" si="5"/>
        <v>0.25497993380303186</v>
      </c>
      <c r="J56" s="15">
        <v>0</v>
      </c>
      <c r="K56" s="31">
        <f t="shared" si="6"/>
        <v>16.8</v>
      </c>
      <c r="L56" s="46">
        <f t="shared" si="7"/>
        <v>16.54502006619697</v>
      </c>
      <c r="M56" s="236"/>
      <c r="N56" s="34"/>
      <c r="O56" s="13">
        <v>1.05</v>
      </c>
      <c r="P56" s="47">
        <v>16</v>
      </c>
      <c r="R56" s="13" t="s">
        <v>246</v>
      </c>
      <c r="S56" s="13">
        <v>44.518100268490265</v>
      </c>
    </row>
    <row r="57" spans="1:19" s="13" customFormat="1" ht="20.25" thickBot="1">
      <c r="A57" s="74"/>
      <c r="B57" s="210" t="s">
        <v>60</v>
      </c>
      <c r="C57" s="75" t="str">
        <f>'МРСК 2'!C57</f>
        <v>16+16</v>
      </c>
      <c r="D57" s="8">
        <v>5838</v>
      </c>
      <c r="E57" s="8">
        <v>2026</v>
      </c>
      <c r="F57" s="120">
        <f t="shared" si="1"/>
        <v>6.179556618399091</v>
      </c>
      <c r="G57" s="77">
        <v>1.6729999999999992</v>
      </c>
      <c r="H57" s="78"/>
      <c r="I57" s="79">
        <f t="shared" si="5"/>
        <v>4.506556618399092</v>
      </c>
      <c r="J57" s="79">
        <v>0</v>
      </c>
      <c r="K57" s="80">
        <f t="shared" si="6"/>
        <v>16.8</v>
      </c>
      <c r="L57" s="76">
        <f t="shared" si="7"/>
        <v>12.293443381600909</v>
      </c>
      <c r="M57" s="237"/>
      <c r="N57" s="81"/>
      <c r="O57" s="13">
        <v>1.05</v>
      </c>
      <c r="P57" s="47">
        <v>16</v>
      </c>
      <c r="R57" s="13" t="s">
        <v>247</v>
      </c>
      <c r="S57" s="13">
        <v>14.414334094151528</v>
      </c>
    </row>
    <row r="58" spans="1:19" s="13" customFormat="1" ht="20.25" thickTop="1">
      <c r="A58" s="82">
        <v>33</v>
      </c>
      <c r="B58" s="210" t="s">
        <v>94</v>
      </c>
      <c r="C58" s="84" t="str">
        <f>'МРСК 2'!C58</f>
        <v>25+25+25</v>
      </c>
      <c r="D58" s="84">
        <f>D59+D60</f>
        <v>39765</v>
      </c>
      <c r="E58" s="84">
        <f>E59+E60</f>
        <v>17571</v>
      </c>
      <c r="F58" s="120">
        <f t="shared" si="1"/>
        <v>43.47407579236159</v>
      </c>
      <c r="G58" s="85">
        <f>'МРСК 2'!F58</f>
        <v>5.322</v>
      </c>
      <c r="H58" s="86">
        <v>120</v>
      </c>
      <c r="I58" s="87">
        <f t="shared" si="5"/>
        <v>38.152075792361586</v>
      </c>
      <c r="J58" s="87">
        <v>0</v>
      </c>
      <c r="K58" s="87">
        <f>O58*P58</f>
        <v>52.5</v>
      </c>
      <c r="L58" s="103">
        <f t="shared" si="7"/>
        <v>14.347924207638414</v>
      </c>
      <c r="M58" s="238">
        <f>MIN(L58:L60)</f>
        <v>14.347924207638414</v>
      </c>
      <c r="N58" s="88"/>
      <c r="O58" s="13">
        <v>1.05</v>
      </c>
      <c r="P58" s="47">
        <v>50</v>
      </c>
      <c r="R58" s="13" t="s">
        <v>248</v>
      </c>
      <c r="S58" s="13">
        <v>9.036</v>
      </c>
    </row>
    <row r="59" spans="1:19" s="13" customFormat="1" ht="19.5">
      <c r="A59" s="14"/>
      <c r="B59" s="210" t="s">
        <v>59</v>
      </c>
      <c r="C59" s="8" t="str">
        <f>'МРСК 2'!C59</f>
        <v>25+25+25</v>
      </c>
      <c r="D59" s="8">
        <v>16965</v>
      </c>
      <c r="E59" s="8">
        <v>8691</v>
      </c>
      <c r="F59" s="120">
        <f t="shared" si="1"/>
        <v>19.06160292315418</v>
      </c>
      <c r="G59" s="33">
        <f>'МРСК 2'!F59</f>
        <v>3.102</v>
      </c>
      <c r="H59" s="47"/>
      <c r="I59" s="15">
        <f t="shared" si="5"/>
        <v>15.95960292315418</v>
      </c>
      <c r="J59" s="15">
        <v>0</v>
      </c>
      <c r="K59" s="31">
        <f t="shared" si="6"/>
        <v>52.5</v>
      </c>
      <c r="L59" s="46">
        <f t="shared" si="7"/>
        <v>36.54039707684582</v>
      </c>
      <c r="M59" s="236"/>
      <c r="N59" s="34"/>
      <c r="O59" s="13">
        <v>1.05</v>
      </c>
      <c r="P59" s="47">
        <v>50</v>
      </c>
      <c r="R59" s="13" t="s">
        <v>249</v>
      </c>
      <c r="S59" s="13">
        <v>7.950296422106423</v>
      </c>
    </row>
    <row r="60" spans="1:19" s="13" customFormat="1" ht="20.25" thickBot="1">
      <c r="A60" s="74"/>
      <c r="B60" s="210" t="s">
        <v>60</v>
      </c>
      <c r="C60" s="75" t="str">
        <f>'МРСК 2'!C60</f>
        <v>25+25+25</v>
      </c>
      <c r="D60" s="75">
        <v>22800</v>
      </c>
      <c r="E60" s="75">
        <v>8880</v>
      </c>
      <c r="F60" s="120">
        <f t="shared" si="1"/>
        <v>24.468232465791232</v>
      </c>
      <c r="G60" s="77">
        <f>'МРСК 2'!F60</f>
        <v>2.22</v>
      </c>
      <c r="H60" s="78"/>
      <c r="I60" s="79">
        <f t="shared" si="5"/>
        <v>22.248232465791233</v>
      </c>
      <c r="J60" s="79">
        <v>0</v>
      </c>
      <c r="K60" s="80">
        <f t="shared" si="6"/>
        <v>52.5</v>
      </c>
      <c r="L60" s="76">
        <f t="shared" si="7"/>
        <v>30.251767534208767</v>
      </c>
      <c r="M60" s="237"/>
      <c r="N60" s="81"/>
      <c r="O60" s="13">
        <v>1.05</v>
      </c>
      <c r="P60" s="47">
        <v>50</v>
      </c>
      <c r="R60" s="13" t="s">
        <v>250</v>
      </c>
      <c r="S60" s="13">
        <v>11.78631810614024</v>
      </c>
    </row>
    <row r="61" spans="1:19" s="13" customFormat="1" ht="20.25" thickTop="1">
      <c r="A61" s="82">
        <v>34</v>
      </c>
      <c r="B61" s="210" t="s">
        <v>95</v>
      </c>
      <c r="C61" s="84" t="str">
        <f>'МРСК 2'!C61</f>
        <v>10+16</v>
      </c>
      <c r="D61" s="84">
        <f>D62+D63</f>
        <v>10006</v>
      </c>
      <c r="E61" s="84">
        <f>E62+E63</f>
        <v>3960</v>
      </c>
      <c r="F61" s="120">
        <f t="shared" si="1"/>
        <v>10.76111685653492</v>
      </c>
      <c r="G61" s="85">
        <v>8.87</v>
      </c>
      <c r="H61" s="86">
        <v>45</v>
      </c>
      <c r="I61" s="87">
        <f t="shared" si="5"/>
        <v>1.8911168565349215</v>
      </c>
      <c r="J61" s="87">
        <v>0</v>
      </c>
      <c r="K61" s="87">
        <f t="shared" si="6"/>
        <v>10.5</v>
      </c>
      <c r="L61" s="103">
        <f t="shared" si="7"/>
        <v>8.608883143465079</v>
      </c>
      <c r="M61" s="238">
        <f>MIN(L61:L63)</f>
        <v>8.608883143465079</v>
      </c>
      <c r="N61" s="88"/>
      <c r="O61" s="13">
        <v>1.05</v>
      </c>
      <c r="P61" s="47">
        <v>10</v>
      </c>
      <c r="R61" s="13" t="s">
        <v>251</v>
      </c>
      <c r="S61" s="13">
        <v>15.90839524986797</v>
      </c>
    </row>
    <row r="62" spans="1:19" s="13" customFormat="1" ht="19.5">
      <c r="A62" s="14"/>
      <c r="B62" s="210" t="s">
        <v>59</v>
      </c>
      <c r="C62" s="8" t="str">
        <f>'МРСК 2'!C62</f>
        <v>10+16</v>
      </c>
      <c r="D62" s="8">
        <v>9416</v>
      </c>
      <c r="E62" s="8">
        <v>3776</v>
      </c>
      <c r="F62" s="120">
        <f t="shared" si="1"/>
        <v>10.144911630960616</v>
      </c>
      <c r="G62" s="33">
        <v>8.867</v>
      </c>
      <c r="H62" s="47"/>
      <c r="I62" s="15">
        <f t="shared" si="5"/>
        <v>1.2779116309606149</v>
      </c>
      <c r="J62" s="15">
        <v>0</v>
      </c>
      <c r="K62" s="31">
        <f t="shared" si="6"/>
        <v>10.5</v>
      </c>
      <c r="L62" s="46">
        <f t="shared" si="7"/>
        <v>9.222088369039385</v>
      </c>
      <c r="M62" s="236"/>
      <c r="N62" s="34"/>
      <c r="O62" s="13">
        <v>1.05</v>
      </c>
      <c r="P62" s="47">
        <v>10</v>
      </c>
      <c r="R62" s="13" t="s">
        <v>252</v>
      </c>
      <c r="S62" s="13">
        <v>41.987</v>
      </c>
    </row>
    <row r="63" spans="1:19" s="13" customFormat="1" ht="20.25" thickBot="1">
      <c r="A63" s="74"/>
      <c r="B63" s="210" t="s">
        <v>60</v>
      </c>
      <c r="C63" s="75" t="str">
        <f>'МРСК 2'!C63</f>
        <v>10+16</v>
      </c>
      <c r="D63" s="75">
        <v>590</v>
      </c>
      <c r="E63" s="75">
        <v>184</v>
      </c>
      <c r="F63" s="120">
        <f t="shared" si="1"/>
        <v>0.6180258894253541</v>
      </c>
      <c r="G63" s="77">
        <v>0</v>
      </c>
      <c r="H63" s="78"/>
      <c r="I63" s="79">
        <f t="shared" si="5"/>
        <v>0.6180258894253541</v>
      </c>
      <c r="J63" s="79">
        <v>0</v>
      </c>
      <c r="K63" s="80">
        <f t="shared" si="6"/>
        <v>10.5</v>
      </c>
      <c r="L63" s="76">
        <f t="shared" si="7"/>
        <v>9.881974110574646</v>
      </c>
      <c r="M63" s="237"/>
      <c r="N63" s="81"/>
      <c r="O63" s="13">
        <v>1.05</v>
      </c>
      <c r="P63" s="47">
        <v>10</v>
      </c>
      <c r="R63" s="13" t="s">
        <v>253</v>
      </c>
      <c r="S63" s="13">
        <v>1.8480653622383463</v>
      </c>
    </row>
    <row r="64" spans="1:19" s="13" customFormat="1" ht="21" thickBot="1" thickTop="1">
      <c r="A64" s="14">
        <v>35</v>
      </c>
      <c r="B64" s="210" t="s">
        <v>96</v>
      </c>
      <c r="C64" s="47" t="str">
        <f>'МРСК 2'!C64</f>
        <v>40+48</v>
      </c>
      <c r="D64" s="47">
        <v>42786</v>
      </c>
      <c r="E64" s="47">
        <v>13076</v>
      </c>
      <c r="F64" s="120">
        <f t="shared" si="1"/>
        <v>44.739507954379654</v>
      </c>
      <c r="G64" s="46">
        <v>0</v>
      </c>
      <c r="H64" s="16">
        <v>120</v>
      </c>
      <c r="I64" s="46">
        <f t="shared" si="5"/>
        <v>44.739507954379654</v>
      </c>
      <c r="J64" s="15">
        <v>0</v>
      </c>
      <c r="K64" s="45">
        <f t="shared" si="6"/>
        <v>42</v>
      </c>
      <c r="L64" s="105">
        <f t="shared" si="7"/>
        <v>-2.739507954379654</v>
      </c>
      <c r="M64" s="46">
        <f>MIN(L64:L64)</f>
        <v>-2.739507954379654</v>
      </c>
      <c r="N64" s="34"/>
      <c r="O64" s="13">
        <v>1.05</v>
      </c>
      <c r="P64" s="47">
        <v>40</v>
      </c>
      <c r="R64" s="13" t="s">
        <v>254</v>
      </c>
      <c r="S64" s="13">
        <v>8.998584412367896</v>
      </c>
    </row>
    <row r="65" spans="1:19" s="13" customFormat="1" ht="21" thickBot="1" thickTop="1">
      <c r="A65" s="82">
        <v>36</v>
      </c>
      <c r="B65" s="210" t="s">
        <v>97</v>
      </c>
      <c r="C65" s="84" t="str">
        <f>'МРСК 2'!C65</f>
        <v>16+16</v>
      </c>
      <c r="D65" s="84">
        <f>D66+D67</f>
        <v>11354</v>
      </c>
      <c r="E65" s="84">
        <f>E66+E67</f>
        <v>4570</v>
      </c>
      <c r="F65" s="120">
        <f t="shared" si="1"/>
        <v>12.239208144320449</v>
      </c>
      <c r="G65" s="85">
        <v>11.433</v>
      </c>
      <c r="H65" s="86">
        <v>120</v>
      </c>
      <c r="I65" s="87">
        <f t="shared" si="5"/>
        <v>0.8062081443204487</v>
      </c>
      <c r="J65" s="87">
        <v>0</v>
      </c>
      <c r="K65" s="87">
        <f t="shared" si="6"/>
        <v>16.8</v>
      </c>
      <c r="L65" s="103">
        <f t="shared" si="7"/>
        <v>15.993791855679552</v>
      </c>
      <c r="M65" s="238">
        <f>MIN(L65:L67)</f>
        <v>4.846203387902439</v>
      </c>
      <c r="N65" s="88"/>
      <c r="O65" s="13">
        <v>1.05</v>
      </c>
      <c r="P65" s="47">
        <v>16</v>
      </c>
      <c r="R65" s="13" t="s">
        <v>255</v>
      </c>
      <c r="S65" s="13">
        <v>15.209366022511643</v>
      </c>
    </row>
    <row r="66" spans="1:19" s="13" customFormat="1" ht="21" thickBot="1" thickTop="1">
      <c r="A66" s="14"/>
      <c r="B66" s="210" t="s">
        <v>59</v>
      </c>
      <c r="C66" s="84" t="str">
        <f>'МРСК 2'!C66</f>
        <v>16+8</v>
      </c>
      <c r="D66" s="8">
        <v>4826</v>
      </c>
      <c r="E66" s="8">
        <v>2482</v>
      </c>
      <c r="F66" s="120">
        <f t="shared" si="1"/>
        <v>5.426840701550028</v>
      </c>
      <c r="G66" s="33">
        <v>8.133</v>
      </c>
      <c r="H66" s="47"/>
      <c r="I66" s="15">
        <f t="shared" si="5"/>
        <v>-2.706159298449971</v>
      </c>
      <c r="J66" s="15">
        <v>0</v>
      </c>
      <c r="K66" s="31">
        <f t="shared" si="6"/>
        <v>8.4</v>
      </c>
      <c r="L66" s="46">
        <f t="shared" si="7"/>
        <v>11.10615929844997</v>
      </c>
      <c r="M66" s="236"/>
      <c r="N66" s="34"/>
      <c r="O66" s="13">
        <v>1.05</v>
      </c>
      <c r="P66" s="47">
        <v>8</v>
      </c>
      <c r="R66" s="13" t="s">
        <v>256</v>
      </c>
      <c r="S66" s="13">
        <v>26.040419796563164</v>
      </c>
    </row>
    <row r="67" spans="1:19" s="13" customFormat="1" ht="21" thickBot="1" thickTop="1">
      <c r="A67" s="74"/>
      <c r="B67" s="210" t="s">
        <v>60</v>
      </c>
      <c r="C67" s="84" t="str">
        <f>'МРСК 2'!C67</f>
        <v>16+8</v>
      </c>
      <c r="D67" s="75">
        <v>6528</v>
      </c>
      <c r="E67" s="75">
        <v>2088</v>
      </c>
      <c r="F67" s="120">
        <f t="shared" si="1"/>
        <v>6.853796612097561</v>
      </c>
      <c r="G67" s="77">
        <v>3.3</v>
      </c>
      <c r="H67" s="78"/>
      <c r="I67" s="79">
        <f t="shared" si="5"/>
        <v>3.5537966120975613</v>
      </c>
      <c r="J67" s="79">
        <v>0</v>
      </c>
      <c r="K67" s="80">
        <f t="shared" si="6"/>
        <v>8.4</v>
      </c>
      <c r="L67" s="76">
        <f t="shared" si="7"/>
        <v>4.846203387902439</v>
      </c>
      <c r="M67" s="237"/>
      <c r="N67" s="81"/>
      <c r="O67" s="13">
        <v>1.05</v>
      </c>
      <c r="P67" s="47">
        <v>8</v>
      </c>
      <c r="R67" s="13" t="s">
        <v>257</v>
      </c>
      <c r="S67" s="13">
        <v>22.959716189809143</v>
      </c>
    </row>
    <row r="68" spans="1:19" s="13" customFormat="1" ht="20.25" thickTop="1">
      <c r="A68" s="82">
        <v>37</v>
      </c>
      <c r="B68" s="210" t="s">
        <v>98</v>
      </c>
      <c r="C68" s="84" t="str">
        <f>'МРСК 2'!C68</f>
        <v>10+10</v>
      </c>
      <c r="D68" s="84">
        <f>D69+D70</f>
        <v>9651</v>
      </c>
      <c r="E68" s="84">
        <f>E69+E70</f>
        <v>3834</v>
      </c>
      <c r="F68" s="120">
        <f t="shared" si="1"/>
        <v>10.384669325500932</v>
      </c>
      <c r="G68" s="85">
        <v>11.5</v>
      </c>
      <c r="H68" s="86">
        <v>120</v>
      </c>
      <c r="I68" s="87">
        <f t="shared" si="5"/>
        <v>-1.1153306744990683</v>
      </c>
      <c r="J68" s="87">
        <v>0</v>
      </c>
      <c r="K68" s="87">
        <f t="shared" si="6"/>
        <v>10.5</v>
      </c>
      <c r="L68" s="103">
        <f t="shared" si="7"/>
        <v>11.615330674499068</v>
      </c>
      <c r="M68" s="238">
        <f>MIN(L68:L70)</f>
        <v>9.488687952410267</v>
      </c>
      <c r="N68" s="88"/>
      <c r="O68" s="13">
        <v>1.05</v>
      </c>
      <c r="P68" s="47">
        <v>10</v>
      </c>
      <c r="R68" s="13" t="s">
        <v>258</v>
      </c>
      <c r="S68" s="13">
        <v>13.166174882516371</v>
      </c>
    </row>
    <row r="69" spans="1:19" s="13" customFormat="1" ht="19.5">
      <c r="A69" s="14"/>
      <c r="B69" s="210" t="s">
        <v>59</v>
      </c>
      <c r="C69" s="8" t="str">
        <f>'МРСК 2'!C69</f>
        <v>10+10</v>
      </c>
      <c r="D69" s="8">
        <v>8148</v>
      </c>
      <c r="E69" s="8">
        <v>3354</v>
      </c>
      <c r="F69" s="120">
        <f t="shared" si="1"/>
        <v>8.811312047589734</v>
      </c>
      <c r="G69" s="33">
        <v>7.8</v>
      </c>
      <c r="H69" s="47"/>
      <c r="I69" s="15">
        <f t="shared" si="5"/>
        <v>1.0113120475897341</v>
      </c>
      <c r="J69" s="15">
        <v>0</v>
      </c>
      <c r="K69" s="31">
        <f t="shared" si="6"/>
        <v>10.5</v>
      </c>
      <c r="L69" s="46">
        <f t="shared" si="7"/>
        <v>9.488687952410267</v>
      </c>
      <c r="M69" s="236"/>
      <c r="N69" s="34"/>
      <c r="O69" s="13">
        <v>1.05</v>
      </c>
      <c r="P69" s="47">
        <v>10</v>
      </c>
      <c r="R69" s="13" t="s">
        <v>259</v>
      </c>
      <c r="S69" s="13">
        <v>16.94752752346333</v>
      </c>
    </row>
    <row r="70" spans="1:19" s="13" customFormat="1" ht="20.25" thickBot="1">
      <c r="A70" s="74"/>
      <c r="B70" s="210" t="s">
        <v>60</v>
      </c>
      <c r="C70" s="75" t="str">
        <f>'МРСК 2'!C70</f>
        <v>10+10</v>
      </c>
      <c r="D70" s="75">
        <v>1503</v>
      </c>
      <c r="E70" s="75">
        <v>480</v>
      </c>
      <c r="F70" s="120">
        <f t="shared" si="1"/>
        <v>1.5777861071767618</v>
      </c>
      <c r="G70" s="77">
        <v>3.7</v>
      </c>
      <c r="H70" s="78"/>
      <c r="I70" s="79">
        <f t="shared" si="5"/>
        <v>-2.1222138928232384</v>
      </c>
      <c r="J70" s="79">
        <v>0</v>
      </c>
      <c r="K70" s="80">
        <f t="shared" si="6"/>
        <v>10.5</v>
      </c>
      <c r="L70" s="76">
        <f t="shared" si="7"/>
        <v>12.622213892823238</v>
      </c>
      <c r="M70" s="237"/>
      <c r="N70" s="81"/>
      <c r="O70" s="13">
        <v>1.05</v>
      </c>
      <c r="P70" s="47">
        <v>10</v>
      </c>
      <c r="R70" s="13" t="s">
        <v>260</v>
      </c>
      <c r="S70" s="13">
        <v>6.017952388470796</v>
      </c>
    </row>
    <row r="71" spans="1:16" s="13" customFormat="1" ht="20.25" thickTop="1">
      <c r="A71" s="82">
        <v>38</v>
      </c>
      <c r="B71" s="210" t="s">
        <v>99</v>
      </c>
      <c r="C71" s="84" t="str">
        <f>'МРСК 2'!C71</f>
        <v>10+10</v>
      </c>
      <c r="D71" s="84">
        <f>D72+D73</f>
        <v>9151</v>
      </c>
      <c r="E71" s="84">
        <f>E72+E73</f>
        <v>3160</v>
      </c>
      <c r="F71" s="120">
        <f t="shared" si="1"/>
        <v>9.681239641698784</v>
      </c>
      <c r="G71" s="85">
        <v>8.83</v>
      </c>
      <c r="H71" s="86">
        <v>120</v>
      </c>
      <c r="I71" s="87">
        <f t="shared" si="5"/>
        <v>0.8512396416987844</v>
      </c>
      <c r="J71" s="87">
        <v>0</v>
      </c>
      <c r="K71" s="87">
        <f t="shared" si="6"/>
        <v>10.5</v>
      </c>
      <c r="L71" s="103">
        <f t="shared" si="7"/>
        <v>9.648760358301216</v>
      </c>
      <c r="M71" s="238">
        <f>MIN(L71:L73)</f>
        <v>9.121880368864769</v>
      </c>
      <c r="N71" s="88"/>
      <c r="O71" s="13">
        <v>1.05</v>
      </c>
      <c r="P71" s="47">
        <v>10</v>
      </c>
    </row>
    <row r="72" spans="1:16" s="13" customFormat="1" ht="19.5">
      <c r="A72" s="14"/>
      <c r="B72" s="210" t="s">
        <v>59</v>
      </c>
      <c r="C72" s="8" t="str">
        <f>'МРСК 2'!C72</f>
        <v>10+10</v>
      </c>
      <c r="D72" s="8">
        <v>4999</v>
      </c>
      <c r="E72" s="8">
        <v>1858</v>
      </c>
      <c r="F72" s="120">
        <f t="shared" si="1"/>
        <v>5.333119631135232</v>
      </c>
      <c r="G72" s="33">
        <v>3.955</v>
      </c>
      <c r="H72" s="47"/>
      <c r="I72" s="15">
        <f t="shared" si="5"/>
        <v>1.378119631135232</v>
      </c>
      <c r="J72" s="15">
        <v>0</v>
      </c>
      <c r="K72" s="31">
        <f t="shared" si="6"/>
        <v>10.5</v>
      </c>
      <c r="L72" s="46">
        <f t="shared" si="7"/>
        <v>9.121880368864769</v>
      </c>
      <c r="M72" s="236"/>
      <c r="N72" s="34"/>
      <c r="O72" s="13">
        <v>1.05</v>
      </c>
      <c r="P72" s="47">
        <v>10</v>
      </c>
    </row>
    <row r="73" spans="1:16" s="13" customFormat="1" ht="20.25" thickBot="1">
      <c r="A73" s="74"/>
      <c r="B73" s="210" t="s">
        <v>60</v>
      </c>
      <c r="C73" s="75" t="str">
        <f>'МРСК 2'!C73</f>
        <v>10+10</v>
      </c>
      <c r="D73" s="75">
        <v>4152</v>
      </c>
      <c r="E73" s="75">
        <v>1302</v>
      </c>
      <c r="F73" s="120">
        <f t="shared" si="1"/>
        <v>4.351357029709237</v>
      </c>
      <c r="G73" s="77">
        <v>4.875</v>
      </c>
      <c r="H73" s="78"/>
      <c r="I73" s="79">
        <f t="shared" si="5"/>
        <v>-0.523642970290763</v>
      </c>
      <c r="J73" s="79">
        <v>0</v>
      </c>
      <c r="K73" s="80">
        <f t="shared" si="6"/>
        <v>10.5</v>
      </c>
      <c r="L73" s="76">
        <f t="shared" si="7"/>
        <v>11.023642970290762</v>
      </c>
      <c r="M73" s="237"/>
      <c r="N73" s="81"/>
      <c r="O73" s="13">
        <v>1.05</v>
      </c>
      <c r="P73" s="47">
        <v>10</v>
      </c>
    </row>
    <row r="74" spans="1:16" s="13" customFormat="1" ht="21" thickBot="1" thickTop="1">
      <c r="A74" s="14">
        <v>39</v>
      </c>
      <c r="B74" s="210" t="s">
        <v>100</v>
      </c>
      <c r="C74" s="47" t="str">
        <f>'МРСК 2'!C74</f>
        <v>25+25</v>
      </c>
      <c r="D74" s="47">
        <v>13429</v>
      </c>
      <c r="E74" s="47">
        <v>6832</v>
      </c>
      <c r="F74" s="120">
        <f aca="true" t="shared" si="8" ref="F74:F139">SQRT(D74*D74+E74*E74)/1000</f>
        <v>15.066992566534305</v>
      </c>
      <c r="G74" s="46">
        <v>1.46</v>
      </c>
      <c r="H74" s="16">
        <v>45</v>
      </c>
      <c r="I74" s="46">
        <f t="shared" si="5"/>
        <v>13.606992566534306</v>
      </c>
      <c r="J74" s="15">
        <v>0</v>
      </c>
      <c r="K74" s="45">
        <f t="shared" si="6"/>
        <v>26.25</v>
      </c>
      <c r="L74" s="105">
        <f t="shared" si="7"/>
        <v>12.643007433465694</v>
      </c>
      <c r="M74" s="46">
        <f>MIN(L74:L74)</f>
        <v>12.643007433465694</v>
      </c>
      <c r="N74" s="34"/>
      <c r="O74" s="13">
        <v>1.05</v>
      </c>
      <c r="P74" s="47">
        <v>25</v>
      </c>
    </row>
    <row r="75" spans="1:16" s="13" customFormat="1" ht="20.25" thickTop="1">
      <c r="A75" s="82">
        <v>40</v>
      </c>
      <c r="B75" s="210" t="s">
        <v>101</v>
      </c>
      <c r="C75" s="84" t="str">
        <f>'МРСК 2'!C75</f>
        <v>25+25</v>
      </c>
      <c r="D75" s="84">
        <f>D76+D77</f>
        <v>18812</v>
      </c>
      <c r="E75" s="84">
        <f>E76+E77</f>
        <v>6807</v>
      </c>
      <c r="F75" s="120">
        <f t="shared" si="8"/>
        <v>20.005664022971093</v>
      </c>
      <c r="G75" s="85">
        <v>10.651</v>
      </c>
      <c r="H75" s="86">
        <v>120</v>
      </c>
      <c r="I75" s="87">
        <f t="shared" si="5"/>
        <v>9.354664022971093</v>
      </c>
      <c r="J75" s="87">
        <v>0</v>
      </c>
      <c r="K75" s="87">
        <f t="shared" si="6"/>
        <v>26.25</v>
      </c>
      <c r="L75" s="103">
        <f t="shared" si="7"/>
        <v>16.895335977028907</v>
      </c>
      <c r="M75" s="238">
        <f>MIN(L75:L77)</f>
        <v>16.895335977028907</v>
      </c>
      <c r="N75" s="88"/>
      <c r="O75" s="13">
        <v>1.05</v>
      </c>
      <c r="P75" s="47">
        <v>25</v>
      </c>
    </row>
    <row r="76" spans="1:16" s="13" customFormat="1" ht="19.5">
      <c r="A76" s="14"/>
      <c r="B76" s="210" t="s">
        <v>59</v>
      </c>
      <c r="C76" s="8" t="str">
        <f>'МРСК 2'!C76</f>
        <v>25+25</v>
      </c>
      <c r="D76" s="8">
        <v>10517</v>
      </c>
      <c r="E76" s="8">
        <v>4038</v>
      </c>
      <c r="F76" s="120">
        <f t="shared" si="8"/>
        <v>11.26555515720375</v>
      </c>
      <c r="G76" s="33">
        <v>8.576</v>
      </c>
      <c r="H76" s="47"/>
      <c r="I76" s="15">
        <f t="shared" si="5"/>
        <v>2.689555157203749</v>
      </c>
      <c r="J76" s="15">
        <v>0</v>
      </c>
      <c r="K76" s="31">
        <f t="shared" si="6"/>
        <v>26.25</v>
      </c>
      <c r="L76" s="46">
        <f t="shared" si="7"/>
        <v>23.56044484279625</v>
      </c>
      <c r="M76" s="236"/>
      <c r="N76" s="34"/>
      <c r="O76" s="13">
        <v>1.05</v>
      </c>
      <c r="P76" s="47">
        <v>25</v>
      </c>
    </row>
    <row r="77" spans="1:16" s="13" customFormat="1" ht="20.25" thickBot="1">
      <c r="A77" s="74"/>
      <c r="B77" s="210" t="s">
        <v>60</v>
      </c>
      <c r="C77" s="75" t="str">
        <f>'МРСК 2'!C77</f>
        <v>25+25</v>
      </c>
      <c r="D77" s="75">
        <v>8295</v>
      </c>
      <c r="E77" s="75">
        <v>2769</v>
      </c>
      <c r="F77" s="120">
        <f t="shared" si="8"/>
        <v>8.744963464760731</v>
      </c>
      <c r="G77" s="77">
        <v>2.075</v>
      </c>
      <c r="H77" s="78"/>
      <c r="I77" s="79">
        <f t="shared" si="5"/>
        <v>6.669963464760731</v>
      </c>
      <c r="J77" s="79">
        <v>0</v>
      </c>
      <c r="K77" s="80">
        <f t="shared" si="6"/>
        <v>26.25</v>
      </c>
      <c r="L77" s="76">
        <f t="shared" si="7"/>
        <v>19.58003653523927</v>
      </c>
      <c r="M77" s="237"/>
      <c r="N77" s="81"/>
      <c r="O77" s="13">
        <v>1.05</v>
      </c>
      <c r="P77" s="47">
        <v>25</v>
      </c>
    </row>
    <row r="78" spans="1:16" s="13" customFormat="1" ht="20.25" thickTop="1">
      <c r="A78" s="82">
        <v>41</v>
      </c>
      <c r="B78" s="210" t="s">
        <v>102</v>
      </c>
      <c r="C78" s="84" t="str">
        <f>'МРСК 2'!C78</f>
        <v>25+25</v>
      </c>
      <c r="D78" s="84">
        <f>D79+D80</f>
        <v>37165</v>
      </c>
      <c r="E78" s="84">
        <f>E79+E80</f>
        <v>16321</v>
      </c>
      <c r="F78" s="120">
        <f t="shared" si="8"/>
        <v>40.5907904086629</v>
      </c>
      <c r="G78" s="85">
        <v>25.07</v>
      </c>
      <c r="H78" s="86">
        <v>120</v>
      </c>
      <c r="I78" s="87">
        <f t="shared" si="5"/>
        <v>15.520790408662897</v>
      </c>
      <c r="J78" s="87">
        <v>0</v>
      </c>
      <c r="K78" s="87">
        <f t="shared" si="6"/>
        <v>26.25</v>
      </c>
      <c r="L78" s="103">
        <f t="shared" si="7"/>
        <v>10.729209591337103</v>
      </c>
      <c r="M78" s="238">
        <f>MIN(L78:L80)</f>
        <v>6.291394457322191</v>
      </c>
      <c r="N78" s="88"/>
      <c r="O78" s="13">
        <v>1.05</v>
      </c>
      <c r="P78" s="47">
        <v>25</v>
      </c>
    </row>
    <row r="79" spans="1:16" s="13" customFormat="1" ht="19.5">
      <c r="A79" s="14"/>
      <c r="B79" s="210" t="s">
        <v>59</v>
      </c>
      <c r="C79" s="8" t="str">
        <f>'МРСК 2'!C79</f>
        <v>25+25</v>
      </c>
      <c r="D79" s="8">
        <v>16029</v>
      </c>
      <c r="E79" s="8">
        <v>5536</v>
      </c>
      <c r="F79" s="120">
        <f t="shared" si="8"/>
        <v>16.9580699668329</v>
      </c>
      <c r="G79" s="33">
        <v>21.3</v>
      </c>
      <c r="H79" s="47"/>
      <c r="I79" s="15">
        <f t="shared" si="5"/>
        <v>-4.3419300331671025</v>
      </c>
      <c r="J79" s="15">
        <v>0</v>
      </c>
      <c r="K79" s="31">
        <f t="shared" si="6"/>
        <v>26.25</v>
      </c>
      <c r="L79" s="46">
        <f t="shared" si="7"/>
        <v>30.591930033167102</v>
      </c>
      <c r="M79" s="236"/>
      <c r="N79" s="34"/>
      <c r="O79" s="13">
        <v>1.05</v>
      </c>
      <c r="P79" s="47">
        <v>25</v>
      </c>
    </row>
    <row r="80" spans="1:16" s="13" customFormat="1" ht="20.25" thickBot="1">
      <c r="A80" s="74"/>
      <c r="B80" s="210" t="s">
        <v>60</v>
      </c>
      <c r="C80" s="75" t="str">
        <f>'МРСК 2'!C80</f>
        <v>25+25</v>
      </c>
      <c r="D80" s="75">
        <v>21136</v>
      </c>
      <c r="E80" s="75">
        <v>10785</v>
      </c>
      <c r="F80" s="120">
        <f t="shared" si="8"/>
        <v>23.72860554267781</v>
      </c>
      <c r="G80" s="77">
        <v>3.77</v>
      </c>
      <c r="H80" s="78"/>
      <c r="I80" s="79">
        <f t="shared" si="5"/>
        <v>19.95860554267781</v>
      </c>
      <c r="J80" s="79">
        <v>0</v>
      </c>
      <c r="K80" s="80">
        <f t="shared" si="6"/>
        <v>26.25</v>
      </c>
      <c r="L80" s="76">
        <f t="shared" si="7"/>
        <v>6.291394457322191</v>
      </c>
      <c r="M80" s="237"/>
      <c r="N80" s="81"/>
      <c r="O80" s="13">
        <v>1.05</v>
      </c>
      <c r="P80" s="47">
        <v>25</v>
      </c>
    </row>
    <row r="81" spans="1:16" s="13" customFormat="1" ht="20.25" thickTop="1">
      <c r="A81" s="82">
        <v>42</v>
      </c>
      <c r="B81" s="210" t="s">
        <v>103</v>
      </c>
      <c r="C81" s="84" t="str">
        <f>'МРСК 2'!C81</f>
        <v>25+25</v>
      </c>
      <c r="D81" s="84">
        <f>D82+D83</f>
        <v>2404</v>
      </c>
      <c r="E81" s="84">
        <f>E82+E83</f>
        <v>964</v>
      </c>
      <c r="F81" s="120">
        <f t="shared" si="8"/>
        <v>2.5900795354583224</v>
      </c>
      <c r="G81" s="85">
        <v>0</v>
      </c>
      <c r="H81" s="86"/>
      <c r="I81" s="87">
        <f t="shared" si="5"/>
        <v>2.5900795354583224</v>
      </c>
      <c r="J81" s="87">
        <v>0</v>
      </c>
      <c r="K81" s="87">
        <f t="shared" si="6"/>
        <v>26.25</v>
      </c>
      <c r="L81" s="103">
        <f t="shared" si="7"/>
        <v>23.659920464541678</v>
      </c>
      <c r="M81" s="238">
        <f>MIN(L81:L83)</f>
        <v>10.534920464541678</v>
      </c>
      <c r="N81" s="88"/>
      <c r="O81" s="13">
        <v>1.05</v>
      </c>
      <c r="P81" s="47">
        <v>25</v>
      </c>
    </row>
    <row r="82" spans="1:16" s="13" customFormat="1" ht="19.5">
      <c r="A82" s="14"/>
      <c r="B82" s="210" t="s">
        <v>59</v>
      </c>
      <c r="C82" s="8" t="str">
        <f>'МРСК 2'!C82</f>
        <v>12,5+12,5</v>
      </c>
      <c r="D82" s="8">
        <v>0</v>
      </c>
      <c r="E82" s="8">
        <v>0</v>
      </c>
      <c r="F82" s="120">
        <f t="shared" si="8"/>
        <v>0</v>
      </c>
      <c r="G82" s="33">
        <v>0</v>
      </c>
      <c r="H82" s="47"/>
      <c r="I82" s="15">
        <f t="shared" si="5"/>
        <v>0</v>
      </c>
      <c r="J82" s="15">
        <v>0</v>
      </c>
      <c r="K82" s="31">
        <f t="shared" si="6"/>
        <v>13.125</v>
      </c>
      <c r="L82" s="46">
        <f t="shared" si="7"/>
        <v>13.125</v>
      </c>
      <c r="M82" s="236"/>
      <c r="N82" s="34"/>
      <c r="O82" s="13">
        <v>1.05</v>
      </c>
      <c r="P82" s="47">
        <v>12.5</v>
      </c>
    </row>
    <row r="83" spans="1:16" s="13" customFormat="1" ht="20.25" thickBot="1">
      <c r="A83" s="74"/>
      <c r="B83" s="210" t="s">
        <v>60</v>
      </c>
      <c r="C83" s="75" t="str">
        <f>'МРСК 2'!C83</f>
        <v>12,5+12,5</v>
      </c>
      <c r="D83" s="75">
        <v>2404</v>
      </c>
      <c r="E83" s="75">
        <v>964</v>
      </c>
      <c r="F83" s="120">
        <f t="shared" si="8"/>
        <v>2.5900795354583224</v>
      </c>
      <c r="G83" s="77">
        <v>0</v>
      </c>
      <c r="H83" s="78"/>
      <c r="I83" s="79">
        <f t="shared" si="5"/>
        <v>2.5900795354583224</v>
      </c>
      <c r="J83" s="79">
        <v>0</v>
      </c>
      <c r="K83" s="80">
        <f t="shared" si="6"/>
        <v>13.125</v>
      </c>
      <c r="L83" s="76">
        <f t="shared" si="7"/>
        <v>10.534920464541678</v>
      </c>
      <c r="M83" s="237"/>
      <c r="N83" s="81"/>
      <c r="O83" s="13">
        <v>1.05</v>
      </c>
      <c r="P83" s="47">
        <v>12.5</v>
      </c>
    </row>
    <row r="84" spans="1:16" s="13" customFormat="1" ht="21" thickBot="1" thickTop="1">
      <c r="A84" s="14">
        <v>43</v>
      </c>
      <c r="B84" s="210" t="s">
        <v>104</v>
      </c>
      <c r="C84" s="47" t="str">
        <f>'МРСК 2'!C84</f>
        <v>16+16</v>
      </c>
      <c r="D84" s="47">
        <v>8388</v>
      </c>
      <c r="E84" s="47">
        <v>3608</v>
      </c>
      <c r="F84" s="120">
        <f t="shared" si="8"/>
        <v>9.131057331985163</v>
      </c>
      <c r="G84" s="46">
        <v>6.43</v>
      </c>
      <c r="H84" s="16">
        <v>120</v>
      </c>
      <c r="I84" s="46">
        <f t="shared" si="5"/>
        <v>2.7010573319851634</v>
      </c>
      <c r="J84" s="15">
        <v>0</v>
      </c>
      <c r="K84" s="45">
        <f t="shared" si="6"/>
        <v>16.8</v>
      </c>
      <c r="L84" s="105">
        <f t="shared" si="7"/>
        <v>14.098942668014837</v>
      </c>
      <c r="M84" s="46">
        <f>L84</f>
        <v>14.098942668014837</v>
      </c>
      <c r="N84" s="34"/>
      <c r="O84" s="13">
        <v>1.05</v>
      </c>
      <c r="P84" s="47">
        <v>16</v>
      </c>
    </row>
    <row r="85" spans="1:16" s="13" customFormat="1" ht="20.25" thickTop="1">
      <c r="A85" s="82">
        <v>44</v>
      </c>
      <c r="B85" s="210" t="s">
        <v>105</v>
      </c>
      <c r="C85" s="84" t="str">
        <f>'МРСК 2'!C85</f>
        <v>16+16</v>
      </c>
      <c r="D85" s="84">
        <f>D86+D87</f>
        <v>13281</v>
      </c>
      <c r="E85" s="84">
        <f>E86+E87</f>
        <v>5063</v>
      </c>
      <c r="F85" s="120">
        <f t="shared" si="8"/>
        <v>14.213336343026572</v>
      </c>
      <c r="G85" s="85">
        <v>13.953</v>
      </c>
      <c r="H85" s="86">
        <v>80</v>
      </c>
      <c r="I85" s="87">
        <f t="shared" si="5"/>
        <v>0.26033634302657305</v>
      </c>
      <c r="J85" s="87">
        <v>0</v>
      </c>
      <c r="K85" s="87">
        <f t="shared" si="6"/>
        <v>16.8</v>
      </c>
      <c r="L85" s="103">
        <f t="shared" si="7"/>
        <v>16.539663656973428</v>
      </c>
      <c r="M85" s="238">
        <f>MIN(L85:L87)</f>
        <v>14.450087408114832</v>
      </c>
      <c r="N85" s="88"/>
      <c r="O85" s="13">
        <v>1.05</v>
      </c>
      <c r="P85" s="47">
        <v>16</v>
      </c>
    </row>
    <row r="86" spans="1:16" s="13" customFormat="1" ht="19.5">
      <c r="A86" s="14"/>
      <c r="B86" s="210" t="s">
        <v>59</v>
      </c>
      <c r="C86" s="8" t="str">
        <f>'МРСК 2'!C86</f>
        <v>16+16</v>
      </c>
      <c r="D86" s="8">
        <v>8161</v>
      </c>
      <c r="E86" s="8">
        <v>3347</v>
      </c>
      <c r="F86" s="120">
        <f t="shared" si="8"/>
        <v>8.8206762779279</v>
      </c>
      <c r="G86" s="33">
        <v>10.903</v>
      </c>
      <c r="H86" s="47"/>
      <c r="I86" s="15">
        <f t="shared" si="5"/>
        <v>-2.0823237220721005</v>
      </c>
      <c r="J86" s="15">
        <v>0</v>
      </c>
      <c r="K86" s="31">
        <f t="shared" si="6"/>
        <v>16.8</v>
      </c>
      <c r="L86" s="46">
        <f t="shared" si="7"/>
        <v>18.8823237220721</v>
      </c>
      <c r="M86" s="236"/>
      <c r="N86" s="34"/>
      <c r="O86" s="13">
        <v>1.05</v>
      </c>
      <c r="P86" s="47">
        <v>16</v>
      </c>
    </row>
    <row r="87" spans="1:19" s="13" customFormat="1" ht="20.25" thickBot="1">
      <c r="A87" s="74"/>
      <c r="B87" s="210" t="s">
        <v>60</v>
      </c>
      <c r="C87" s="75" t="str">
        <f>'МРСК 2'!C87</f>
        <v>16+16</v>
      </c>
      <c r="D87" s="75">
        <v>5120</v>
      </c>
      <c r="E87" s="75">
        <v>1716</v>
      </c>
      <c r="F87" s="120">
        <f t="shared" si="8"/>
        <v>5.399912591885169</v>
      </c>
      <c r="G87" s="77">
        <v>3.05</v>
      </c>
      <c r="H87" s="78"/>
      <c r="I87" s="79">
        <f t="shared" si="5"/>
        <v>2.349912591885169</v>
      </c>
      <c r="J87" s="79">
        <v>0</v>
      </c>
      <c r="K87" s="80">
        <f t="shared" si="6"/>
        <v>16.8</v>
      </c>
      <c r="L87" s="76">
        <f t="shared" si="7"/>
        <v>14.450087408114832</v>
      </c>
      <c r="M87" s="237"/>
      <c r="N87" s="81"/>
      <c r="O87" s="13">
        <v>1.05</v>
      </c>
      <c r="P87" s="47">
        <v>16</v>
      </c>
      <c r="R87" s="13" t="s">
        <v>261</v>
      </c>
      <c r="S87" s="13">
        <v>11.386617340682111</v>
      </c>
    </row>
    <row r="88" spans="1:19" s="13" customFormat="1" ht="20.25" thickTop="1">
      <c r="A88" s="14">
        <v>45</v>
      </c>
      <c r="B88" s="210" t="s">
        <v>106</v>
      </c>
      <c r="C88" s="47" t="str">
        <f>'МРСК 2'!C88</f>
        <v>40+40</v>
      </c>
      <c r="D88" s="47">
        <v>26016</v>
      </c>
      <c r="E88" s="47">
        <v>7584</v>
      </c>
      <c r="F88" s="120">
        <f t="shared" si="8"/>
        <v>27.098880272070286</v>
      </c>
      <c r="G88" s="46">
        <v>6.73</v>
      </c>
      <c r="H88" s="16">
        <v>120</v>
      </c>
      <c r="I88" s="46">
        <f t="shared" si="5"/>
        <v>20.368880272070285</v>
      </c>
      <c r="J88" s="15">
        <v>0</v>
      </c>
      <c r="K88" s="45">
        <f t="shared" si="6"/>
        <v>42</v>
      </c>
      <c r="L88" s="105">
        <f t="shared" si="7"/>
        <v>21.631119727929715</v>
      </c>
      <c r="M88" s="46">
        <f>MIN(L88:L88)</f>
        <v>21.631119727929715</v>
      </c>
      <c r="N88" s="34"/>
      <c r="O88" s="13">
        <v>1.05</v>
      </c>
      <c r="P88" s="47">
        <v>40</v>
      </c>
      <c r="R88" s="13" t="s">
        <v>262</v>
      </c>
      <c r="S88" s="13">
        <v>11.69773457401763</v>
      </c>
    </row>
    <row r="89" spans="1:19" s="13" customFormat="1" ht="20.25" thickBot="1">
      <c r="A89" s="14">
        <v>46</v>
      </c>
      <c r="B89" s="210" t="s">
        <v>107</v>
      </c>
      <c r="C89" s="47" t="str">
        <f>'МРСК 2'!C89</f>
        <v>40+40</v>
      </c>
      <c r="D89" s="47">
        <v>23785</v>
      </c>
      <c r="E89" s="47">
        <v>4642</v>
      </c>
      <c r="F89" s="120">
        <f t="shared" si="8"/>
        <v>24.233744840614296</v>
      </c>
      <c r="G89" s="46">
        <v>11.23</v>
      </c>
      <c r="H89" s="16">
        <v>120</v>
      </c>
      <c r="I89" s="46">
        <f t="shared" si="5"/>
        <v>13.003744840614296</v>
      </c>
      <c r="J89" s="15">
        <v>0</v>
      </c>
      <c r="K89" s="45">
        <f t="shared" si="6"/>
        <v>42</v>
      </c>
      <c r="L89" s="105">
        <f t="shared" si="7"/>
        <v>28.996255159385704</v>
      </c>
      <c r="M89" s="46">
        <f>MIN(L89:L89)</f>
        <v>28.996255159385704</v>
      </c>
      <c r="N89" s="34"/>
      <c r="O89" s="13">
        <v>1.05</v>
      </c>
      <c r="P89" s="47">
        <v>40</v>
      </c>
      <c r="R89" s="13" t="s">
        <v>263</v>
      </c>
      <c r="S89" s="13">
        <v>18.494572181849524</v>
      </c>
    </row>
    <row r="90" spans="1:19" s="13" customFormat="1" ht="20.25" thickTop="1">
      <c r="A90" s="82">
        <v>47</v>
      </c>
      <c r="B90" s="210" t="s">
        <v>108</v>
      </c>
      <c r="C90" s="84" t="str">
        <f>'МРСК 2'!C90</f>
        <v>40+25</v>
      </c>
      <c r="D90" s="84">
        <f>D91+D92</f>
        <v>23335</v>
      </c>
      <c r="E90" s="84">
        <f>E91+E92</f>
        <v>7691</v>
      </c>
      <c r="F90" s="120">
        <f t="shared" si="8"/>
        <v>24.569772200816193</v>
      </c>
      <c r="G90" s="85">
        <v>12.4</v>
      </c>
      <c r="H90" s="86">
        <v>120</v>
      </c>
      <c r="I90" s="87">
        <f t="shared" si="5"/>
        <v>12.169772200816192</v>
      </c>
      <c r="J90" s="87">
        <v>0</v>
      </c>
      <c r="K90" s="87">
        <f t="shared" si="6"/>
        <v>42</v>
      </c>
      <c r="L90" s="103">
        <f t="shared" si="7"/>
        <v>29.83022779918381</v>
      </c>
      <c r="M90" s="238">
        <f>MIN(L90:L92)</f>
        <v>29.83022779918381</v>
      </c>
      <c r="N90" s="88"/>
      <c r="O90" s="13">
        <v>1.05</v>
      </c>
      <c r="P90" s="47">
        <v>40</v>
      </c>
      <c r="R90" s="13" t="s">
        <v>264</v>
      </c>
      <c r="S90" s="13">
        <v>10.827653027044985</v>
      </c>
    </row>
    <row r="91" spans="1:19" s="13" customFormat="1" ht="19.5">
      <c r="A91" s="14"/>
      <c r="B91" s="210" t="s">
        <v>59</v>
      </c>
      <c r="C91" s="8" t="str">
        <f>'МРСК 2'!C91</f>
        <v>40+25</v>
      </c>
      <c r="D91" s="8">
        <v>16567</v>
      </c>
      <c r="E91" s="8">
        <v>6202</v>
      </c>
      <c r="F91" s="120">
        <f t="shared" si="8"/>
        <v>17.68983586696044</v>
      </c>
      <c r="G91" s="33">
        <v>6.227</v>
      </c>
      <c r="H91" s="47"/>
      <c r="I91" s="15">
        <f t="shared" si="5"/>
        <v>11.46283586696044</v>
      </c>
      <c r="J91" s="15">
        <v>0</v>
      </c>
      <c r="K91" s="31">
        <f t="shared" si="6"/>
        <v>42</v>
      </c>
      <c r="L91" s="46">
        <f t="shared" si="7"/>
        <v>30.53716413303956</v>
      </c>
      <c r="M91" s="236"/>
      <c r="N91" s="34"/>
      <c r="O91" s="13">
        <v>1.05</v>
      </c>
      <c r="P91" s="47">
        <v>40</v>
      </c>
      <c r="R91" s="13" t="s">
        <v>265</v>
      </c>
      <c r="S91" s="13">
        <v>10.735904046770756</v>
      </c>
    </row>
    <row r="92" spans="1:19" s="13" customFormat="1" ht="20.25" thickBot="1">
      <c r="A92" s="74"/>
      <c r="B92" s="210" t="s">
        <v>60</v>
      </c>
      <c r="C92" s="75" t="str">
        <f>'МРСК 2'!C92</f>
        <v>40+25</v>
      </c>
      <c r="D92" s="75">
        <v>6768</v>
      </c>
      <c r="E92" s="75">
        <v>1489</v>
      </c>
      <c r="F92" s="120">
        <f t="shared" si="8"/>
        <v>6.929858945173415</v>
      </c>
      <c r="G92" s="77">
        <v>6.173</v>
      </c>
      <c r="H92" s="78"/>
      <c r="I92" s="79">
        <f t="shared" si="5"/>
        <v>0.7568589451734153</v>
      </c>
      <c r="J92" s="79">
        <v>0</v>
      </c>
      <c r="K92" s="80">
        <f t="shared" si="6"/>
        <v>42</v>
      </c>
      <c r="L92" s="76">
        <f t="shared" si="7"/>
        <v>41.24314105482659</v>
      </c>
      <c r="M92" s="237"/>
      <c r="N92" s="81"/>
      <c r="O92" s="13">
        <v>1.05</v>
      </c>
      <c r="P92" s="47">
        <v>40</v>
      </c>
      <c r="R92" s="13" t="s">
        <v>266</v>
      </c>
      <c r="S92" s="13">
        <v>19.808273593115338</v>
      </c>
    </row>
    <row r="93" spans="1:16" s="13" customFormat="1" ht="21" thickBot="1" thickTop="1">
      <c r="A93" s="14">
        <v>48</v>
      </c>
      <c r="B93" s="210" t="s">
        <v>109</v>
      </c>
      <c r="C93" s="47" t="str">
        <f>'МРСК 2'!C93</f>
        <v>16+16</v>
      </c>
      <c r="D93" s="47">
        <v>15459</v>
      </c>
      <c r="E93" s="47">
        <v>3295</v>
      </c>
      <c r="F93" s="120">
        <f t="shared" si="8"/>
        <v>15.806255280742494</v>
      </c>
      <c r="G93" s="46">
        <v>1.249</v>
      </c>
      <c r="H93" s="16">
        <v>80</v>
      </c>
      <c r="I93" s="46">
        <f t="shared" si="5"/>
        <v>14.557255280742494</v>
      </c>
      <c r="J93" s="15">
        <v>0</v>
      </c>
      <c r="K93" s="45">
        <f t="shared" si="6"/>
        <v>16.8</v>
      </c>
      <c r="L93" s="105">
        <f t="shared" si="7"/>
        <v>2.242744719257507</v>
      </c>
      <c r="M93" s="46">
        <f>L93</f>
        <v>2.242744719257507</v>
      </c>
      <c r="N93" s="34"/>
      <c r="O93" s="13">
        <v>1.05</v>
      </c>
      <c r="P93" s="47">
        <v>16</v>
      </c>
    </row>
    <row r="94" spans="1:16" s="13" customFormat="1" ht="20.25" thickTop="1">
      <c r="A94" s="82">
        <v>49</v>
      </c>
      <c r="B94" s="210" t="s">
        <v>110</v>
      </c>
      <c r="C94" s="84" t="str">
        <f>'МРСК 2'!C94</f>
        <v>10+10</v>
      </c>
      <c r="D94" s="84">
        <f>D95+D96</f>
        <v>5960</v>
      </c>
      <c r="E94" s="84">
        <f>E95+E96</f>
        <v>2270</v>
      </c>
      <c r="F94" s="120">
        <f t="shared" si="8"/>
        <v>6.377656309334958</v>
      </c>
      <c r="G94" s="85">
        <v>6.16</v>
      </c>
      <c r="H94" s="86">
        <v>80</v>
      </c>
      <c r="I94" s="87">
        <f t="shared" si="5"/>
        <v>0.2176563093349575</v>
      </c>
      <c r="J94" s="87">
        <v>0</v>
      </c>
      <c r="K94" s="87">
        <f t="shared" si="6"/>
        <v>10.5</v>
      </c>
      <c r="L94" s="103">
        <f t="shared" si="7"/>
        <v>10.282343690665043</v>
      </c>
      <c r="M94" s="238">
        <f>MIN(L94:L96)</f>
        <v>10.282343690665043</v>
      </c>
      <c r="N94" s="88"/>
      <c r="O94" s="13">
        <v>1.05</v>
      </c>
      <c r="P94" s="47">
        <v>10</v>
      </c>
    </row>
    <row r="95" spans="1:16" s="13" customFormat="1" ht="19.5">
      <c r="A95" s="14"/>
      <c r="B95" s="210" t="s">
        <v>59</v>
      </c>
      <c r="C95" s="8" t="str">
        <f>'МРСК 2'!C95</f>
        <v>10+10</v>
      </c>
      <c r="D95" s="8">
        <v>2266</v>
      </c>
      <c r="E95" s="8">
        <v>1008</v>
      </c>
      <c r="F95" s="120">
        <f t="shared" si="8"/>
        <v>2.480084675973786</v>
      </c>
      <c r="G95" s="33">
        <v>2.375</v>
      </c>
      <c r="H95" s="47"/>
      <c r="I95" s="15">
        <f t="shared" si="5"/>
        <v>0.10508467597378601</v>
      </c>
      <c r="J95" s="15">
        <v>0</v>
      </c>
      <c r="K95" s="31">
        <f t="shared" si="6"/>
        <v>10.5</v>
      </c>
      <c r="L95" s="46">
        <f t="shared" si="7"/>
        <v>10.394915324026215</v>
      </c>
      <c r="M95" s="236"/>
      <c r="N95" s="34"/>
      <c r="O95" s="13">
        <v>1.05</v>
      </c>
      <c r="P95" s="47">
        <v>10</v>
      </c>
    </row>
    <row r="96" spans="1:16" s="13" customFormat="1" ht="20.25" thickBot="1">
      <c r="A96" s="74"/>
      <c r="B96" s="210" t="s">
        <v>60</v>
      </c>
      <c r="C96" s="75" t="str">
        <f>'МРСК 2'!C96</f>
        <v>10+10</v>
      </c>
      <c r="D96" s="75">
        <v>3694</v>
      </c>
      <c r="E96" s="75">
        <v>1262</v>
      </c>
      <c r="F96" s="120">
        <f t="shared" si="8"/>
        <v>3.903623957299166</v>
      </c>
      <c r="G96" s="77">
        <v>3.785</v>
      </c>
      <c r="H96" s="78"/>
      <c r="I96" s="79">
        <f t="shared" si="5"/>
        <v>0.11862395729916564</v>
      </c>
      <c r="J96" s="79">
        <v>0</v>
      </c>
      <c r="K96" s="80">
        <f t="shared" si="6"/>
        <v>10.5</v>
      </c>
      <c r="L96" s="76">
        <f t="shared" si="7"/>
        <v>10.381376042700834</v>
      </c>
      <c r="M96" s="237"/>
      <c r="N96" s="81"/>
      <c r="O96" s="13">
        <v>1.05</v>
      </c>
      <c r="P96" s="47">
        <v>10</v>
      </c>
    </row>
    <row r="97" spans="1:16" s="13" customFormat="1" ht="20.25" thickTop="1">
      <c r="A97" s="82">
        <v>50</v>
      </c>
      <c r="B97" s="210" t="s">
        <v>111</v>
      </c>
      <c r="C97" s="84" t="str">
        <f>'МРСК 2'!C97</f>
        <v>16+16</v>
      </c>
      <c r="D97" s="84">
        <f>D98+D99</f>
        <v>16357</v>
      </c>
      <c r="E97" s="84">
        <f>E98+E99</f>
        <v>6666</v>
      </c>
      <c r="F97" s="120">
        <f t="shared" si="8"/>
        <v>17.663153880323865</v>
      </c>
      <c r="G97" s="85">
        <v>7.7116</v>
      </c>
      <c r="H97" s="86">
        <v>120</v>
      </c>
      <c r="I97" s="87">
        <f t="shared" si="5"/>
        <v>9.951553880323864</v>
      </c>
      <c r="J97" s="87">
        <v>0</v>
      </c>
      <c r="K97" s="87">
        <f t="shared" si="6"/>
        <v>16.8</v>
      </c>
      <c r="L97" s="103">
        <f t="shared" si="7"/>
        <v>6.848446119676137</v>
      </c>
      <c r="M97" s="238">
        <f>MIN(L97:L99)</f>
        <v>6.848446119676137</v>
      </c>
      <c r="N97" s="88"/>
      <c r="O97" s="13">
        <v>1.05</v>
      </c>
      <c r="P97" s="47">
        <v>16</v>
      </c>
    </row>
    <row r="98" spans="1:16" s="13" customFormat="1" ht="19.5">
      <c r="A98" s="14"/>
      <c r="B98" s="210" t="s">
        <v>59</v>
      </c>
      <c r="C98" s="8" t="str">
        <f>'МРСК 2'!C98</f>
        <v>16+16</v>
      </c>
      <c r="D98" s="8">
        <v>8971</v>
      </c>
      <c r="E98" s="8">
        <v>4110</v>
      </c>
      <c r="F98" s="120">
        <f t="shared" si="8"/>
        <v>9.867671508517093</v>
      </c>
      <c r="G98" s="33">
        <v>4.854</v>
      </c>
      <c r="H98" s="47"/>
      <c r="I98" s="15">
        <f t="shared" si="5"/>
        <v>5.013671508517093</v>
      </c>
      <c r="J98" s="15">
        <v>0</v>
      </c>
      <c r="K98" s="31">
        <f t="shared" si="6"/>
        <v>16.8</v>
      </c>
      <c r="L98" s="46">
        <f t="shared" si="7"/>
        <v>11.786328491482909</v>
      </c>
      <c r="M98" s="236"/>
      <c r="N98" s="34"/>
      <c r="O98" s="13">
        <v>1.05</v>
      </c>
      <c r="P98" s="47">
        <v>16</v>
      </c>
    </row>
    <row r="99" spans="1:16" s="13" customFormat="1" ht="20.25" thickBot="1">
      <c r="A99" s="74"/>
      <c r="B99" s="210" t="s">
        <v>60</v>
      </c>
      <c r="C99" s="75" t="str">
        <f>'МРСК 2'!C99</f>
        <v>16+16</v>
      </c>
      <c r="D99" s="75">
        <v>7386</v>
      </c>
      <c r="E99" s="75">
        <v>2556</v>
      </c>
      <c r="F99" s="120">
        <f t="shared" si="8"/>
        <v>7.815761767096026</v>
      </c>
      <c r="G99" s="77">
        <v>2.8575999999999997</v>
      </c>
      <c r="H99" s="78"/>
      <c r="I99" s="79">
        <f t="shared" si="5"/>
        <v>4.958161767096026</v>
      </c>
      <c r="J99" s="79">
        <v>0</v>
      </c>
      <c r="K99" s="80">
        <f t="shared" si="6"/>
        <v>16.8</v>
      </c>
      <c r="L99" s="76">
        <f t="shared" si="7"/>
        <v>11.841838232903974</v>
      </c>
      <c r="M99" s="237"/>
      <c r="N99" s="81"/>
      <c r="O99" s="13">
        <v>1.05</v>
      </c>
      <c r="P99" s="47">
        <v>16</v>
      </c>
    </row>
    <row r="100" spans="1:16" s="13" customFormat="1" ht="20.25" thickTop="1">
      <c r="A100" s="82">
        <v>51</v>
      </c>
      <c r="B100" s="210" t="s">
        <v>112</v>
      </c>
      <c r="C100" s="84" t="str">
        <f>'МРСК 2'!C100</f>
        <v>25+25</v>
      </c>
      <c r="D100" s="84">
        <f>D101+D102</f>
        <v>12571</v>
      </c>
      <c r="E100" s="84">
        <f>E101+E102</f>
        <v>3927</v>
      </c>
      <c r="F100" s="120">
        <f t="shared" si="8"/>
        <v>13.170093773394326</v>
      </c>
      <c r="G100" s="85">
        <v>9.65</v>
      </c>
      <c r="H100" s="86">
        <v>80</v>
      </c>
      <c r="I100" s="87">
        <f t="shared" si="5"/>
        <v>3.5200937733943256</v>
      </c>
      <c r="J100" s="87">
        <v>0</v>
      </c>
      <c r="K100" s="87">
        <f t="shared" si="6"/>
        <v>26.25</v>
      </c>
      <c r="L100" s="103">
        <f t="shared" si="7"/>
        <v>22.729906226605674</v>
      </c>
      <c r="M100" s="238">
        <f>MIN(L100:L102)</f>
        <v>18.84141858073494</v>
      </c>
      <c r="N100" s="88"/>
      <c r="O100" s="13">
        <v>1.05</v>
      </c>
      <c r="P100" s="47">
        <v>25</v>
      </c>
    </row>
    <row r="101" spans="1:16" s="13" customFormat="1" ht="19.5">
      <c r="A101" s="14"/>
      <c r="B101" s="210" t="s">
        <v>59</v>
      </c>
      <c r="C101" s="8" t="str">
        <f>'МРСК 2'!C101</f>
        <v>25+25</v>
      </c>
      <c r="D101" s="8">
        <v>1720</v>
      </c>
      <c r="E101" s="8">
        <v>404</v>
      </c>
      <c r="F101" s="120">
        <f t="shared" si="8"/>
        <v>1.7668095539700932</v>
      </c>
      <c r="G101" s="33">
        <v>1.384</v>
      </c>
      <c r="H101" s="47"/>
      <c r="I101" s="15">
        <f t="shared" si="5"/>
        <v>0.3828095539700933</v>
      </c>
      <c r="J101" s="15">
        <v>0</v>
      </c>
      <c r="K101" s="31">
        <f t="shared" si="6"/>
        <v>26.25</v>
      </c>
      <c r="L101" s="46">
        <f t="shared" si="7"/>
        <v>25.867190446029905</v>
      </c>
      <c r="M101" s="236"/>
      <c r="N101" s="34"/>
      <c r="O101" s="13">
        <v>1.05</v>
      </c>
      <c r="P101" s="47">
        <v>25</v>
      </c>
    </row>
    <row r="102" spans="1:16" s="13" customFormat="1" ht="20.25" thickBot="1">
      <c r="A102" s="74"/>
      <c r="B102" s="210" t="s">
        <v>60</v>
      </c>
      <c r="C102" s="75" t="str">
        <f>'МРСК 2'!C102</f>
        <v>25+25</v>
      </c>
      <c r="D102" s="75">
        <v>10851</v>
      </c>
      <c r="E102" s="75">
        <v>3523</v>
      </c>
      <c r="F102" s="120">
        <f t="shared" si="8"/>
        <v>11.408581419265062</v>
      </c>
      <c r="G102" s="77">
        <v>4</v>
      </c>
      <c r="H102" s="78"/>
      <c r="I102" s="79">
        <f t="shared" si="5"/>
        <v>7.408581419265062</v>
      </c>
      <c r="J102" s="79">
        <v>0</v>
      </c>
      <c r="K102" s="80">
        <f t="shared" si="6"/>
        <v>26.25</v>
      </c>
      <c r="L102" s="76">
        <f t="shared" si="7"/>
        <v>18.84141858073494</v>
      </c>
      <c r="M102" s="237"/>
      <c r="N102" s="81"/>
      <c r="O102" s="13">
        <v>1.05</v>
      </c>
      <c r="P102" s="47">
        <v>25</v>
      </c>
    </row>
    <row r="103" spans="1:16" s="13" customFormat="1" ht="20.25" thickTop="1">
      <c r="A103" s="82">
        <v>52</v>
      </c>
      <c r="B103" s="210" t="s">
        <v>113</v>
      </c>
      <c r="C103" s="84" t="str">
        <f>'МРСК 2'!C103</f>
        <v>16+16+16</v>
      </c>
      <c r="D103" s="84">
        <f>D104+D105</f>
        <v>20632</v>
      </c>
      <c r="E103" s="84">
        <f>E104+E105</f>
        <v>7838</v>
      </c>
      <c r="F103" s="120">
        <f t="shared" si="8"/>
        <v>22.0706517348265</v>
      </c>
      <c r="G103" s="85">
        <v>2.019</v>
      </c>
      <c r="H103" s="86">
        <v>20</v>
      </c>
      <c r="I103" s="87">
        <f t="shared" si="5"/>
        <v>20.0516517348265</v>
      </c>
      <c r="J103" s="87">
        <v>0</v>
      </c>
      <c r="K103" s="87">
        <f t="shared" si="6"/>
        <v>33.6</v>
      </c>
      <c r="L103" s="103">
        <f t="shared" si="7"/>
        <v>13.548348265173502</v>
      </c>
      <c r="M103" s="238">
        <f>MIN(L103:L105)</f>
        <v>13.548348265173502</v>
      </c>
      <c r="N103" s="88"/>
      <c r="O103" s="13">
        <v>1.05</v>
      </c>
      <c r="P103" s="47">
        <v>32</v>
      </c>
    </row>
    <row r="104" spans="1:16" s="13" customFormat="1" ht="19.5">
      <c r="A104" s="14"/>
      <c r="B104" s="210" t="s">
        <v>59</v>
      </c>
      <c r="C104" s="8" t="str">
        <f>'МРСК 2'!C104</f>
        <v>16+16+16</v>
      </c>
      <c r="D104" s="8">
        <v>8114</v>
      </c>
      <c r="E104" s="8">
        <v>2802</v>
      </c>
      <c r="F104" s="120">
        <f t="shared" si="8"/>
        <v>8.584183129453844</v>
      </c>
      <c r="G104" s="33">
        <v>1.719</v>
      </c>
      <c r="H104" s="47"/>
      <c r="I104" s="15">
        <f t="shared" si="5"/>
        <v>6.865183129453844</v>
      </c>
      <c r="J104" s="15">
        <v>0</v>
      </c>
      <c r="K104" s="31">
        <f t="shared" si="6"/>
        <v>33.6</v>
      </c>
      <c r="L104" s="46">
        <f t="shared" si="7"/>
        <v>26.734816870546158</v>
      </c>
      <c r="M104" s="236"/>
      <c r="N104" s="34"/>
      <c r="O104" s="13">
        <v>1.05</v>
      </c>
      <c r="P104" s="47">
        <v>32</v>
      </c>
    </row>
    <row r="105" spans="1:16" s="13" customFormat="1" ht="20.25" thickBot="1">
      <c r="A105" s="74"/>
      <c r="B105" s="210" t="s">
        <v>60</v>
      </c>
      <c r="C105" s="75" t="str">
        <f>'МРСК 2'!C105</f>
        <v>16+16+16</v>
      </c>
      <c r="D105" s="75">
        <v>12518</v>
      </c>
      <c r="E105" s="75">
        <v>5036</v>
      </c>
      <c r="F105" s="120">
        <f t="shared" si="8"/>
        <v>13.493021159102954</v>
      </c>
      <c r="G105" s="77">
        <v>0.3</v>
      </c>
      <c r="H105" s="78"/>
      <c r="I105" s="79">
        <f t="shared" si="5"/>
        <v>13.193021159102953</v>
      </c>
      <c r="J105" s="79">
        <v>0</v>
      </c>
      <c r="K105" s="80">
        <f t="shared" si="6"/>
        <v>33.6</v>
      </c>
      <c r="L105" s="76">
        <f t="shared" si="7"/>
        <v>20.406978840897047</v>
      </c>
      <c r="M105" s="237"/>
      <c r="N105" s="81"/>
      <c r="O105" s="13">
        <v>1.05</v>
      </c>
      <c r="P105" s="47">
        <v>32</v>
      </c>
    </row>
    <row r="106" spans="1:16" s="196" customFormat="1" ht="21" thickBot="1" thickTop="1">
      <c r="A106" s="82">
        <v>53</v>
      </c>
      <c r="B106" s="166" t="s">
        <v>114</v>
      </c>
      <c r="C106" s="145" t="s">
        <v>4</v>
      </c>
      <c r="D106" s="145">
        <v>0</v>
      </c>
      <c r="E106" s="145">
        <v>0</v>
      </c>
      <c r="F106" s="120">
        <f>SQRT(D106*D106+E106*E106)/1000</f>
        <v>0</v>
      </c>
      <c r="G106" s="148">
        <v>0</v>
      </c>
      <c r="H106" s="147">
        <v>0</v>
      </c>
      <c r="I106" s="148">
        <f>F106-G106</f>
        <v>0</v>
      </c>
      <c r="J106" s="146">
        <v>0</v>
      </c>
      <c r="K106" s="153">
        <f>O106*P106</f>
        <v>16.8</v>
      </c>
      <c r="L106" s="120">
        <f>K106-J106-I106</f>
        <v>16.8</v>
      </c>
      <c r="M106" s="148">
        <f>L106</f>
        <v>16.8</v>
      </c>
      <c r="N106" s="195"/>
      <c r="O106" s="196">
        <v>1.05</v>
      </c>
      <c r="P106" s="145">
        <v>16</v>
      </c>
    </row>
    <row r="107" spans="1:16" s="13" customFormat="1" ht="20.25" thickTop="1">
      <c r="A107" s="14">
        <v>54</v>
      </c>
      <c r="B107" s="210" t="s">
        <v>115</v>
      </c>
      <c r="C107" s="84" t="str">
        <f>'МРСК 2'!C106</f>
        <v>10+10</v>
      </c>
      <c r="D107" s="84">
        <f>D108+D109</f>
        <v>9903</v>
      </c>
      <c r="E107" s="84">
        <f>E108+E109</f>
        <v>3556</v>
      </c>
      <c r="F107" s="120">
        <f t="shared" si="8"/>
        <v>10.522097937198646</v>
      </c>
      <c r="G107" s="85">
        <v>9.158000000000001</v>
      </c>
      <c r="H107" s="86">
        <v>120</v>
      </c>
      <c r="I107" s="87">
        <f t="shared" si="5"/>
        <v>1.364097937198645</v>
      </c>
      <c r="J107" s="87">
        <v>0</v>
      </c>
      <c r="K107" s="87">
        <f t="shared" si="6"/>
        <v>10.5</v>
      </c>
      <c r="L107" s="103">
        <f t="shared" si="7"/>
        <v>9.135902062801355</v>
      </c>
      <c r="M107" s="238">
        <f>MIN(L107:L109)</f>
        <v>9.135902062801355</v>
      </c>
      <c r="N107" s="88"/>
      <c r="O107" s="13">
        <v>1.05</v>
      </c>
      <c r="P107" s="47">
        <v>10</v>
      </c>
    </row>
    <row r="108" spans="1:16" s="13" customFormat="1" ht="20.25" thickBot="1">
      <c r="A108" s="74"/>
      <c r="B108" s="210" t="s">
        <v>59</v>
      </c>
      <c r="C108" s="8" t="str">
        <f>'МРСК 2'!C107</f>
        <v>10+10</v>
      </c>
      <c r="D108" s="8">
        <v>4393</v>
      </c>
      <c r="E108" s="8">
        <v>1542</v>
      </c>
      <c r="F108" s="120">
        <f t="shared" si="8"/>
        <v>4.655772009022779</v>
      </c>
      <c r="G108" s="33">
        <v>3.52</v>
      </c>
      <c r="H108" s="47"/>
      <c r="I108" s="15">
        <f t="shared" si="5"/>
        <v>1.1357720090227788</v>
      </c>
      <c r="J108" s="15">
        <v>0</v>
      </c>
      <c r="K108" s="31">
        <f t="shared" si="6"/>
        <v>10.5</v>
      </c>
      <c r="L108" s="46">
        <f t="shared" si="7"/>
        <v>9.364227990977222</v>
      </c>
      <c r="M108" s="236"/>
      <c r="N108" s="34"/>
      <c r="O108" s="13">
        <v>1.05</v>
      </c>
      <c r="P108" s="47">
        <v>10</v>
      </c>
    </row>
    <row r="109" spans="1:16" s="13" customFormat="1" ht="21" thickBot="1" thickTop="1">
      <c r="A109" s="14"/>
      <c r="B109" s="210" t="s">
        <v>60</v>
      </c>
      <c r="C109" s="75" t="str">
        <f>'МРСК 2'!C108</f>
        <v>10+10</v>
      </c>
      <c r="D109" s="75">
        <v>5510</v>
      </c>
      <c r="E109" s="75">
        <v>2014</v>
      </c>
      <c r="F109" s="120">
        <f t="shared" si="8"/>
        <v>5.866540377428591</v>
      </c>
      <c r="G109" s="77">
        <v>5.638000000000001</v>
      </c>
      <c r="H109" s="78"/>
      <c r="I109" s="79">
        <f t="shared" si="5"/>
        <v>0.22854037742859035</v>
      </c>
      <c r="J109" s="79">
        <v>0</v>
      </c>
      <c r="K109" s="80">
        <f aca="true" t="shared" si="9" ref="K109:K161">O109*P109</f>
        <v>10.5</v>
      </c>
      <c r="L109" s="76">
        <f aca="true" t="shared" si="10" ref="L109:L161">K109-J109-I109</f>
        <v>10.27145962257141</v>
      </c>
      <c r="M109" s="237"/>
      <c r="N109" s="81"/>
      <c r="O109" s="13">
        <v>1.05</v>
      </c>
      <c r="P109" s="47">
        <v>10</v>
      </c>
    </row>
    <row r="110" spans="1:16" s="179" customFormat="1" ht="21" thickBot="1" thickTop="1">
      <c r="A110" s="82">
        <v>55</v>
      </c>
      <c r="B110" s="213" t="s">
        <v>116</v>
      </c>
      <c r="C110" s="173" t="str">
        <f>'МРСК 2'!C110</f>
        <v>40+40</v>
      </c>
      <c r="D110" s="173">
        <v>2581</v>
      </c>
      <c r="E110" s="173">
        <v>670</v>
      </c>
      <c r="F110" s="174">
        <f>SQRT(D110*D110+E110*E110)/1000</f>
        <v>2.666544768047219</v>
      </c>
      <c r="G110" s="175"/>
      <c r="H110" s="173"/>
      <c r="I110" s="176">
        <f>F110-G110</f>
        <v>2.666544768047219</v>
      </c>
      <c r="J110" s="176">
        <v>0</v>
      </c>
      <c r="K110" s="176">
        <f>O110*P110</f>
        <v>42</v>
      </c>
      <c r="L110" s="177">
        <f>K110-J110-I110</f>
        <v>39.33345523195278</v>
      </c>
      <c r="M110" s="181">
        <f>L110</f>
        <v>39.33345523195278</v>
      </c>
      <c r="N110" s="178"/>
      <c r="O110" s="179">
        <v>1.05</v>
      </c>
      <c r="P110" s="180">
        <v>40</v>
      </c>
    </row>
    <row r="111" spans="1:16" s="13" customFormat="1" ht="20.25" thickTop="1">
      <c r="A111" s="82">
        <v>56</v>
      </c>
      <c r="B111" s="210" t="s">
        <v>117</v>
      </c>
      <c r="C111" s="84" t="str">
        <f>'МРСК 2'!C111</f>
        <v>16+16</v>
      </c>
      <c r="D111" s="84">
        <f>D112+D113</f>
        <v>7328</v>
      </c>
      <c r="E111" s="84">
        <f>E112+E113</f>
        <v>4264</v>
      </c>
      <c r="F111" s="120">
        <f t="shared" si="8"/>
        <v>8.478282845010538</v>
      </c>
      <c r="G111" s="85">
        <v>11.48</v>
      </c>
      <c r="H111" s="86">
        <v>45</v>
      </c>
      <c r="I111" s="87">
        <f t="shared" si="5"/>
        <v>-3.0017171549894623</v>
      </c>
      <c r="J111" s="87">
        <v>0</v>
      </c>
      <c r="K111" s="87">
        <f t="shared" si="9"/>
        <v>16.8</v>
      </c>
      <c r="L111" s="103">
        <f t="shared" si="10"/>
        <v>19.80171715498946</v>
      </c>
      <c r="M111" s="238">
        <f>MIN(L111:L113)</f>
        <v>17.792013955820387</v>
      </c>
      <c r="N111" s="88"/>
      <c r="O111" s="13">
        <v>1.05</v>
      </c>
      <c r="P111" s="47">
        <v>16</v>
      </c>
    </row>
    <row r="112" spans="1:16" s="13" customFormat="1" ht="19.5">
      <c r="A112" s="14"/>
      <c r="B112" s="210" t="s">
        <v>59</v>
      </c>
      <c r="C112" s="8" t="str">
        <f>'МРСК 2'!C112</f>
        <v>16+16</v>
      </c>
      <c r="D112" s="8">
        <v>6384</v>
      </c>
      <c r="E112" s="8">
        <v>3830</v>
      </c>
      <c r="F112" s="120">
        <f t="shared" si="8"/>
        <v>7.444753588937648</v>
      </c>
      <c r="G112" s="33">
        <v>9.449</v>
      </c>
      <c r="H112" s="47"/>
      <c r="I112" s="15">
        <f t="shared" si="5"/>
        <v>-2.0042464110623515</v>
      </c>
      <c r="J112" s="15">
        <v>0</v>
      </c>
      <c r="K112" s="31">
        <f t="shared" si="9"/>
        <v>16.8</v>
      </c>
      <c r="L112" s="46">
        <f t="shared" si="10"/>
        <v>18.80424641106235</v>
      </c>
      <c r="M112" s="236"/>
      <c r="N112" s="34"/>
      <c r="O112" s="13">
        <v>1.05</v>
      </c>
      <c r="P112" s="47">
        <v>16</v>
      </c>
    </row>
    <row r="113" spans="1:16" s="13" customFormat="1" ht="20.25" thickBot="1">
      <c r="A113" s="74"/>
      <c r="B113" s="210" t="s">
        <v>60</v>
      </c>
      <c r="C113" s="75" t="str">
        <f>'МРСК 2'!C113</f>
        <v>16+16</v>
      </c>
      <c r="D113" s="75">
        <v>944</v>
      </c>
      <c r="E113" s="75">
        <v>434</v>
      </c>
      <c r="F113" s="120">
        <f t="shared" si="8"/>
        <v>1.0389860441796126</v>
      </c>
      <c r="G113" s="77">
        <v>2.0310000000000006</v>
      </c>
      <c r="H113" s="78"/>
      <c r="I113" s="79">
        <f t="shared" si="5"/>
        <v>-0.992013955820388</v>
      </c>
      <c r="J113" s="79">
        <v>0</v>
      </c>
      <c r="K113" s="80">
        <f t="shared" si="9"/>
        <v>16.8</v>
      </c>
      <c r="L113" s="76">
        <f t="shared" si="10"/>
        <v>17.792013955820387</v>
      </c>
      <c r="M113" s="237"/>
      <c r="N113" s="81"/>
      <c r="O113" s="13">
        <v>1.05</v>
      </c>
      <c r="P113" s="47">
        <v>16</v>
      </c>
    </row>
    <row r="114" spans="1:16" s="13" customFormat="1" ht="20.25" thickTop="1">
      <c r="A114" s="82">
        <v>57</v>
      </c>
      <c r="B114" s="210" t="s">
        <v>118</v>
      </c>
      <c r="C114" s="84" t="str">
        <f>'МРСК 2'!C114</f>
        <v>25+31,5</v>
      </c>
      <c r="D114" s="84">
        <f>D115+D116</f>
        <v>21159</v>
      </c>
      <c r="E114" s="84">
        <f>E115+E116</f>
        <v>8583</v>
      </c>
      <c r="F114" s="120">
        <f t="shared" si="8"/>
        <v>22.83355359991081</v>
      </c>
      <c r="G114" s="85">
        <v>9.119</v>
      </c>
      <c r="H114" s="86">
        <v>80</v>
      </c>
      <c r="I114" s="87">
        <f t="shared" si="5"/>
        <v>13.714553599910811</v>
      </c>
      <c r="J114" s="87">
        <v>0</v>
      </c>
      <c r="K114" s="87">
        <f t="shared" si="9"/>
        <v>26.25</v>
      </c>
      <c r="L114" s="103">
        <f t="shared" si="10"/>
        <v>12.535446400089189</v>
      </c>
      <c r="M114" s="238">
        <f>MIN(L114:L116)</f>
        <v>12.535446400089189</v>
      </c>
      <c r="N114" s="88"/>
      <c r="O114" s="13">
        <v>1.05</v>
      </c>
      <c r="P114" s="47">
        <v>25</v>
      </c>
    </row>
    <row r="115" spans="1:19" s="13" customFormat="1" ht="19.5">
      <c r="A115" s="14"/>
      <c r="B115" s="210" t="s">
        <v>59</v>
      </c>
      <c r="C115" s="8" t="str">
        <f>'МРСК 2'!C115</f>
        <v>25+31,5</v>
      </c>
      <c r="D115" s="8">
        <v>7395</v>
      </c>
      <c r="E115" s="8">
        <v>3599</v>
      </c>
      <c r="F115" s="120">
        <f t="shared" si="8"/>
        <v>8.224282704284915</v>
      </c>
      <c r="G115" s="33">
        <v>7.83</v>
      </c>
      <c r="H115" s="47"/>
      <c r="I115" s="15">
        <f t="shared" si="5"/>
        <v>0.3942827042849153</v>
      </c>
      <c r="J115" s="15">
        <v>0</v>
      </c>
      <c r="K115" s="31">
        <f t="shared" si="9"/>
        <v>26.25</v>
      </c>
      <c r="L115" s="46">
        <f t="shared" si="10"/>
        <v>25.855717295715085</v>
      </c>
      <c r="M115" s="236"/>
      <c r="N115" s="34"/>
      <c r="O115" s="13">
        <v>1.05</v>
      </c>
      <c r="P115" s="47">
        <v>25</v>
      </c>
      <c r="R115" s="13" t="s">
        <v>267</v>
      </c>
      <c r="S115" s="13">
        <v>2.351</v>
      </c>
    </row>
    <row r="116" spans="1:19" s="13" customFormat="1" ht="20.25" thickBot="1">
      <c r="A116" s="74"/>
      <c r="B116" s="210" t="s">
        <v>60</v>
      </c>
      <c r="C116" s="75" t="str">
        <f>'МРСК 2'!C116</f>
        <v>25+31,5</v>
      </c>
      <c r="D116" s="75">
        <v>13764</v>
      </c>
      <c r="E116" s="75">
        <v>4984</v>
      </c>
      <c r="F116" s="120">
        <f t="shared" si="8"/>
        <v>14.638577526522173</v>
      </c>
      <c r="G116" s="77">
        <v>1.2889999999999997</v>
      </c>
      <c r="H116" s="78"/>
      <c r="I116" s="79">
        <f t="shared" si="5"/>
        <v>13.349577526522173</v>
      </c>
      <c r="J116" s="79">
        <v>0</v>
      </c>
      <c r="K116" s="80">
        <f t="shared" si="9"/>
        <v>26.25</v>
      </c>
      <c r="L116" s="76">
        <f t="shared" si="10"/>
        <v>12.900422473477827</v>
      </c>
      <c r="M116" s="237"/>
      <c r="N116" s="81"/>
      <c r="O116" s="13">
        <v>1.05</v>
      </c>
      <c r="P116" s="47">
        <v>25</v>
      </c>
      <c r="R116" s="13" t="s">
        <v>268</v>
      </c>
      <c r="S116" s="13">
        <v>6.5595053091557975</v>
      </c>
    </row>
    <row r="117" spans="1:19" s="13" customFormat="1" ht="20.25" thickTop="1">
      <c r="A117" s="14">
        <v>58</v>
      </c>
      <c r="B117" s="210" t="s">
        <v>119</v>
      </c>
      <c r="C117" s="47" t="str">
        <f>'МРСК 2'!C117</f>
        <v>25+25</v>
      </c>
      <c r="D117" s="47">
        <v>2272</v>
      </c>
      <c r="E117" s="47">
        <v>372</v>
      </c>
      <c r="F117" s="120">
        <f t="shared" si="8"/>
        <v>2.3022528097496155</v>
      </c>
      <c r="G117" s="46">
        <v>0</v>
      </c>
      <c r="H117" s="16"/>
      <c r="I117" s="46">
        <f aca="true" t="shared" si="11" ref="I117:I180">F117-G117</f>
        <v>2.3022528097496155</v>
      </c>
      <c r="J117" s="15">
        <v>0</v>
      </c>
      <c r="K117" s="45">
        <f t="shared" si="9"/>
        <v>26.25</v>
      </c>
      <c r="L117" s="105">
        <f t="shared" si="10"/>
        <v>23.947747190250386</v>
      </c>
      <c r="M117" s="46">
        <f>MIN(L117:L117)</f>
        <v>23.947747190250386</v>
      </c>
      <c r="N117" s="34"/>
      <c r="O117" s="13">
        <v>1.05</v>
      </c>
      <c r="P117" s="47">
        <v>25</v>
      </c>
      <c r="R117" s="13" t="s">
        <v>269</v>
      </c>
      <c r="S117" s="13">
        <v>14.983036757795924</v>
      </c>
    </row>
    <row r="118" spans="1:19" s="13" customFormat="1" ht="19.5">
      <c r="A118" s="14">
        <v>59</v>
      </c>
      <c r="B118" s="210" t="s">
        <v>120</v>
      </c>
      <c r="C118" s="47" t="str">
        <f>'МРСК 2'!C118</f>
        <v>16+16</v>
      </c>
      <c r="D118" s="47">
        <v>5231</v>
      </c>
      <c r="E118" s="47">
        <v>2499</v>
      </c>
      <c r="F118" s="120">
        <f t="shared" si="8"/>
        <v>5.797271944630509</v>
      </c>
      <c r="G118" s="46">
        <v>0</v>
      </c>
      <c r="H118" s="16"/>
      <c r="I118" s="46">
        <f t="shared" si="11"/>
        <v>5.797271944630509</v>
      </c>
      <c r="J118" s="15">
        <v>0</v>
      </c>
      <c r="K118" s="45">
        <f t="shared" si="9"/>
        <v>16.8</v>
      </c>
      <c r="L118" s="105">
        <f t="shared" si="10"/>
        <v>11.002728055369491</v>
      </c>
      <c r="M118" s="46">
        <f>L118</f>
        <v>11.002728055369491</v>
      </c>
      <c r="N118" s="34"/>
      <c r="O118" s="13">
        <v>1.05</v>
      </c>
      <c r="P118" s="47">
        <v>16</v>
      </c>
      <c r="R118" s="13" t="s">
        <v>270</v>
      </c>
      <c r="S118" s="13">
        <v>10.559</v>
      </c>
    </row>
    <row r="119" spans="1:19" s="13" customFormat="1" ht="19.5">
      <c r="A119" s="14">
        <v>60</v>
      </c>
      <c r="B119" s="210" t="s">
        <v>121</v>
      </c>
      <c r="C119" s="47" t="str">
        <f>'МРСК 2'!C119</f>
        <v>25+25</v>
      </c>
      <c r="D119" s="47">
        <v>15509</v>
      </c>
      <c r="E119" s="47">
        <v>7413</v>
      </c>
      <c r="F119" s="120">
        <f t="shared" si="8"/>
        <v>17.189579692360137</v>
      </c>
      <c r="G119" s="46">
        <v>0</v>
      </c>
      <c r="H119" s="16"/>
      <c r="I119" s="46">
        <f t="shared" si="11"/>
        <v>17.189579692360137</v>
      </c>
      <c r="J119" s="15">
        <v>0</v>
      </c>
      <c r="K119" s="45">
        <f t="shared" si="9"/>
        <v>26.25</v>
      </c>
      <c r="L119" s="105">
        <f t="shared" si="10"/>
        <v>9.060420307639863</v>
      </c>
      <c r="M119" s="46">
        <f>MIN(L119:L119)</f>
        <v>9.060420307639863</v>
      </c>
      <c r="N119" s="34"/>
      <c r="O119" s="13">
        <v>1.05</v>
      </c>
      <c r="P119" s="47">
        <v>25</v>
      </c>
      <c r="R119" s="13" t="s">
        <v>271</v>
      </c>
      <c r="S119" s="13">
        <v>27.73495314211234</v>
      </c>
    </row>
    <row r="120" spans="1:19" s="13" customFormat="1" ht="19.5">
      <c r="A120" s="14">
        <v>61</v>
      </c>
      <c r="B120" s="210" t="s">
        <v>122</v>
      </c>
      <c r="C120" s="47" t="str">
        <f>'МРСК 2'!C120</f>
        <v>16+16</v>
      </c>
      <c r="D120" s="47">
        <v>9980</v>
      </c>
      <c r="E120" s="47">
        <v>5649</v>
      </c>
      <c r="F120" s="120">
        <f t="shared" si="8"/>
        <v>11.467850757661612</v>
      </c>
      <c r="G120" s="46">
        <v>1.296</v>
      </c>
      <c r="H120" s="16">
        <v>80</v>
      </c>
      <c r="I120" s="46">
        <f t="shared" si="11"/>
        <v>10.171850757661613</v>
      </c>
      <c r="J120" s="15">
        <v>0</v>
      </c>
      <c r="K120" s="45">
        <f t="shared" si="9"/>
        <v>16.8</v>
      </c>
      <c r="L120" s="105">
        <f t="shared" si="10"/>
        <v>6.628149242338388</v>
      </c>
      <c r="M120" s="46">
        <f>L120</f>
        <v>6.628149242338388</v>
      </c>
      <c r="N120" s="34"/>
      <c r="O120" s="13">
        <v>1.05</v>
      </c>
      <c r="P120" s="47">
        <v>16</v>
      </c>
      <c r="R120" s="13" t="s">
        <v>272</v>
      </c>
      <c r="S120" s="13">
        <v>9.201842692069963</v>
      </c>
    </row>
    <row r="121" spans="1:19" s="13" customFormat="1" ht="20.25" thickBot="1">
      <c r="A121" s="14">
        <v>62</v>
      </c>
      <c r="B121" s="210" t="s">
        <v>123</v>
      </c>
      <c r="C121" s="47" t="str">
        <f>'МРСК 2'!C121</f>
        <v>40+40</v>
      </c>
      <c r="D121" s="47">
        <v>33540</v>
      </c>
      <c r="E121" s="47">
        <v>9360</v>
      </c>
      <c r="F121" s="120">
        <f t="shared" si="8"/>
        <v>34.82156228545755</v>
      </c>
      <c r="G121" s="46">
        <v>0</v>
      </c>
      <c r="H121" s="47">
        <v>60</v>
      </c>
      <c r="I121" s="46">
        <f t="shared" si="11"/>
        <v>34.82156228545755</v>
      </c>
      <c r="J121" s="15">
        <v>0</v>
      </c>
      <c r="K121" s="45">
        <f t="shared" si="9"/>
        <v>42</v>
      </c>
      <c r="L121" s="105">
        <f t="shared" si="10"/>
        <v>7.178437714542447</v>
      </c>
      <c r="M121" s="46">
        <f>MIN(L121:L121)</f>
        <v>7.178437714542447</v>
      </c>
      <c r="N121" s="34"/>
      <c r="O121" s="13">
        <v>1.05</v>
      </c>
      <c r="P121" s="47">
        <v>40</v>
      </c>
      <c r="R121" s="13" t="s">
        <v>273</v>
      </c>
      <c r="S121" s="13">
        <v>14.117019537004445</v>
      </c>
    </row>
    <row r="122" spans="1:19" s="13" customFormat="1" ht="21" thickBot="1" thickTop="1">
      <c r="A122" s="14">
        <v>63</v>
      </c>
      <c r="B122" s="210" t="s">
        <v>124</v>
      </c>
      <c r="C122" s="84" t="str">
        <f>'МРСК 2'!C122</f>
        <v>10+10</v>
      </c>
      <c r="D122" s="84">
        <f>D123+D124</f>
        <v>10160</v>
      </c>
      <c r="E122" s="84">
        <f>E123+E124</f>
        <v>3946</v>
      </c>
      <c r="F122" s="120">
        <f t="shared" si="8"/>
        <v>10.89938145033928</v>
      </c>
      <c r="G122" s="85">
        <v>8.98</v>
      </c>
      <c r="H122" s="86">
        <v>120</v>
      </c>
      <c r="I122" s="87">
        <f t="shared" si="11"/>
        <v>1.91938145033928</v>
      </c>
      <c r="J122" s="87">
        <v>0</v>
      </c>
      <c r="K122" s="87">
        <f t="shared" si="9"/>
        <v>10.5</v>
      </c>
      <c r="L122" s="103">
        <f t="shared" si="10"/>
        <v>8.58061854966072</v>
      </c>
      <c r="M122" s="238">
        <f>MIN(L122:L124)</f>
        <v>7.7972138026641</v>
      </c>
      <c r="N122" s="88"/>
      <c r="O122" s="13">
        <v>1.05</v>
      </c>
      <c r="P122" s="47">
        <v>10</v>
      </c>
      <c r="R122" s="13" t="s">
        <v>274</v>
      </c>
      <c r="S122" s="13">
        <v>11.161573662885944</v>
      </c>
    </row>
    <row r="123" spans="1:19" s="13" customFormat="1" ht="20.25" thickTop="1">
      <c r="A123" s="14"/>
      <c r="B123" s="210" t="s">
        <v>59</v>
      </c>
      <c r="C123" s="8" t="str">
        <f>'МРСК 2'!C123</f>
        <v>10+10</v>
      </c>
      <c r="D123" s="84">
        <v>4944</v>
      </c>
      <c r="E123" s="84">
        <v>3154</v>
      </c>
      <c r="F123" s="120">
        <f t="shared" si="8"/>
        <v>5.864371407064869</v>
      </c>
      <c r="G123" s="33">
        <v>6.407</v>
      </c>
      <c r="H123" s="47"/>
      <c r="I123" s="15">
        <f t="shared" si="11"/>
        <v>-0.5426285929351309</v>
      </c>
      <c r="J123" s="15">
        <v>0</v>
      </c>
      <c r="K123" s="31">
        <f t="shared" si="9"/>
        <v>10.5</v>
      </c>
      <c r="L123" s="46">
        <f t="shared" si="10"/>
        <v>11.04262859293513</v>
      </c>
      <c r="M123" s="236"/>
      <c r="N123" s="34"/>
      <c r="O123" s="13">
        <v>1.05</v>
      </c>
      <c r="P123" s="47">
        <v>10</v>
      </c>
      <c r="R123" s="13" t="s">
        <v>275</v>
      </c>
      <c r="S123" s="13">
        <v>11.522408808381842</v>
      </c>
    </row>
    <row r="124" spans="1:19" s="13" customFormat="1" ht="20.25" thickBot="1">
      <c r="A124" s="74"/>
      <c r="B124" s="210" t="s">
        <v>60</v>
      </c>
      <c r="C124" s="75" t="str">
        <f>'МРСК 2'!C124</f>
        <v>10+10</v>
      </c>
      <c r="D124" s="75">
        <v>5216</v>
      </c>
      <c r="E124" s="75">
        <v>792</v>
      </c>
      <c r="F124" s="120">
        <f t="shared" si="8"/>
        <v>5.275786197335901</v>
      </c>
      <c r="G124" s="77">
        <v>2.5730000000000004</v>
      </c>
      <c r="H124" s="78"/>
      <c r="I124" s="79">
        <f t="shared" si="11"/>
        <v>2.7027861973359</v>
      </c>
      <c r="J124" s="79">
        <v>0</v>
      </c>
      <c r="K124" s="80">
        <f t="shared" si="9"/>
        <v>10.5</v>
      </c>
      <c r="L124" s="76">
        <f t="shared" si="10"/>
        <v>7.7972138026641</v>
      </c>
      <c r="M124" s="237"/>
      <c r="N124" s="81"/>
      <c r="O124" s="13">
        <v>1.05</v>
      </c>
      <c r="P124" s="47">
        <v>10</v>
      </c>
      <c r="R124" s="13" t="s">
        <v>276</v>
      </c>
      <c r="S124" s="13">
        <v>28.877151980706003</v>
      </c>
    </row>
    <row r="125" spans="1:19" s="13" customFormat="1" ht="20.25" thickTop="1">
      <c r="A125" s="82">
        <v>64</v>
      </c>
      <c r="B125" s="210" t="s">
        <v>125</v>
      </c>
      <c r="C125" s="84" t="str">
        <f>'МРСК 2'!C125</f>
        <v>25+25</v>
      </c>
      <c r="D125" s="84">
        <f>D126+D127</f>
        <v>16284</v>
      </c>
      <c r="E125" s="84">
        <f>E126+E127</f>
        <v>8685</v>
      </c>
      <c r="F125" s="120">
        <f t="shared" si="8"/>
        <v>18.45529411849077</v>
      </c>
      <c r="G125" s="85">
        <v>10.46</v>
      </c>
      <c r="H125" s="86">
        <v>45</v>
      </c>
      <c r="I125" s="87">
        <f t="shared" si="11"/>
        <v>7.995294118490769</v>
      </c>
      <c r="J125" s="87">
        <v>0</v>
      </c>
      <c r="K125" s="87">
        <f t="shared" si="9"/>
        <v>26.25</v>
      </c>
      <c r="L125" s="103">
        <f t="shared" si="10"/>
        <v>18.25470588150923</v>
      </c>
      <c r="M125" s="238">
        <f>MIN(L125:L127)</f>
        <v>18.25470588150923</v>
      </c>
      <c r="N125" s="88"/>
      <c r="O125" s="13">
        <v>1.05</v>
      </c>
      <c r="P125" s="47">
        <v>25</v>
      </c>
      <c r="R125" s="13" t="s">
        <v>277</v>
      </c>
      <c r="S125" s="13">
        <v>4.224314714864322</v>
      </c>
    </row>
    <row r="126" spans="1:19" s="13" customFormat="1" ht="19.5">
      <c r="A126" s="14"/>
      <c r="B126" s="210" t="s">
        <v>59</v>
      </c>
      <c r="C126" s="8" t="str">
        <f>'МРСК 2'!C126</f>
        <v>25+25</v>
      </c>
      <c r="D126" s="8">
        <v>10147</v>
      </c>
      <c r="E126" s="8">
        <v>5511</v>
      </c>
      <c r="F126" s="120">
        <f t="shared" si="8"/>
        <v>11.546979258663281</v>
      </c>
      <c r="G126" s="33">
        <v>10.46</v>
      </c>
      <c r="H126" s="47"/>
      <c r="I126" s="15">
        <f t="shared" si="11"/>
        <v>1.0869792586632805</v>
      </c>
      <c r="J126" s="15">
        <v>0</v>
      </c>
      <c r="K126" s="31">
        <f t="shared" si="9"/>
        <v>26.25</v>
      </c>
      <c r="L126" s="46">
        <f t="shared" si="10"/>
        <v>25.16302074133672</v>
      </c>
      <c r="M126" s="236"/>
      <c r="N126" s="34"/>
      <c r="O126" s="13">
        <v>1.05</v>
      </c>
      <c r="P126" s="47">
        <v>25</v>
      </c>
      <c r="R126" s="13" t="s">
        <v>278</v>
      </c>
      <c r="S126" s="13">
        <v>13.298</v>
      </c>
    </row>
    <row r="127" spans="1:19" s="13" customFormat="1" ht="20.25" thickBot="1">
      <c r="A127" s="74"/>
      <c r="B127" s="210" t="s">
        <v>60</v>
      </c>
      <c r="C127" s="75" t="str">
        <f>'МРСК 2'!C127</f>
        <v>25+25</v>
      </c>
      <c r="D127" s="75">
        <v>6137</v>
      </c>
      <c r="E127" s="75">
        <v>3174</v>
      </c>
      <c r="F127" s="120">
        <f t="shared" si="8"/>
        <v>6.90920002605222</v>
      </c>
      <c r="G127" s="77">
        <v>0</v>
      </c>
      <c r="H127" s="78"/>
      <c r="I127" s="79">
        <f t="shared" si="11"/>
        <v>6.90920002605222</v>
      </c>
      <c r="J127" s="79">
        <v>0</v>
      </c>
      <c r="K127" s="80">
        <f t="shared" si="9"/>
        <v>26.25</v>
      </c>
      <c r="L127" s="76">
        <f t="shared" si="10"/>
        <v>19.34079997394778</v>
      </c>
      <c r="M127" s="237"/>
      <c r="N127" s="81"/>
      <c r="O127" s="13">
        <v>1.05</v>
      </c>
      <c r="P127" s="47">
        <v>25</v>
      </c>
      <c r="R127" s="13" t="s">
        <v>279</v>
      </c>
      <c r="S127" s="13">
        <v>12.552173753676804</v>
      </c>
    </row>
    <row r="128" spans="1:19" s="13" customFormat="1" ht="18.75" customHeight="1" thickBot="1" thickTop="1">
      <c r="A128" s="14">
        <v>65</v>
      </c>
      <c r="B128" s="210" t="s">
        <v>126</v>
      </c>
      <c r="C128" s="47" t="str">
        <f>'МРСК 2'!C128</f>
        <v>40+40</v>
      </c>
      <c r="D128" s="47">
        <v>12059</v>
      </c>
      <c r="E128" s="47">
        <v>3183</v>
      </c>
      <c r="F128" s="120">
        <f t="shared" si="8"/>
        <v>12.472007456700785</v>
      </c>
      <c r="G128" s="46">
        <v>3.312</v>
      </c>
      <c r="H128" s="16">
        <v>45</v>
      </c>
      <c r="I128" s="46">
        <f t="shared" si="11"/>
        <v>9.160007456700786</v>
      </c>
      <c r="J128" s="15">
        <v>0</v>
      </c>
      <c r="K128" s="45">
        <f t="shared" si="9"/>
        <v>42</v>
      </c>
      <c r="L128" s="105">
        <f t="shared" si="10"/>
        <v>32.83999254329922</v>
      </c>
      <c r="M128" s="46">
        <f>MIN(L128:L128)</f>
        <v>32.83999254329922</v>
      </c>
      <c r="N128" s="34"/>
      <c r="O128" s="13">
        <v>1.05</v>
      </c>
      <c r="P128" s="47">
        <v>40</v>
      </c>
      <c r="R128" s="13" t="s">
        <v>280</v>
      </c>
      <c r="S128" s="13">
        <v>10.016194608210998</v>
      </c>
    </row>
    <row r="129" spans="1:19" s="13" customFormat="1" ht="20.25" thickTop="1">
      <c r="A129" s="82">
        <v>66</v>
      </c>
      <c r="B129" s="210" t="s">
        <v>127</v>
      </c>
      <c r="C129" s="84" t="str">
        <f>'МРСК 2'!C129</f>
        <v>16+16</v>
      </c>
      <c r="D129" s="84">
        <f>D130+D131</f>
        <v>11370</v>
      </c>
      <c r="E129" s="84">
        <f>E130+E131</f>
        <v>3385</v>
      </c>
      <c r="F129" s="120">
        <f t="shared" si="8"/>
        <v>11.863183594634284</v>
      </c>
      <c r="G129" s="85">
        <v>10.36</v>
      </c>
      <c r="H129" s="86">
        <v>120</v>
      </c>
      <c r="I129" s="87">
        <f t="shared" si="11"/>
        <v>1.5031835946342849</v>
      </c>
      <c r="J129" s="87">
        <v>0</v>
      </c>
      <c r="K129" s="87">
        <f t="shared" si="9"/>
        <v>16.8</v>
      </c>
      <c r="L129" s="103">
        <f t="shared" si="10"/>
        <v>15.296816405365716</v>
      </c>
      <c r="M129" s="238">
        <f>MIN(L129:L131)</f>
        <v>15.296816405365716</v>
      </c>
      <c r="N129" s="88"/>
      <c r="O129" s="13">
        <v>1.05</v>
      </c>
      <c r="P129" s="47">
        <v>16</v>
      </c>
      <c r="R129" s="13" t="s">
        <v>281</v>
      </c>
      <c r="S129" s="13">
        <v>22.886265234221632</v>
      </c>
    </row>
    <row r="130" spans="1:19" s="13" customFormat="1" ht="19.5">
      <c r="A130" s="14"/>
      <c r="B130" s="210" t="s">
        <v>59</v>
      </c>
      <c r="C130" s="8" t="str">
        <f>'МРСК 2'!C130</f>
        <v>16+16</v>
      </c>
      <c r="D130" s="8">
        <v>7443</v>
      </c>
      <c r="E130" s="8">
        <v>2214</v>
      </c>
      <c r="F130" s="120">
        <f t="shared" si="8"/>
        <v>7.7653103608291145</v>
      </c>
      <c r="G130" s="33">
        <v>7.562</v>
      </c>
      <c r="H130" s="47"/>
      <c r="I130" s="15">
        <f t="shared" si="11"/>
        <v>0.20331036082911425</v>
      </c>
      <c r="J130" s="15">
        <v>0</v>
      </c>
      <c r="K130" s="31">
        <f t="shared" si="9"/>
        <v>16.8</v>
      </c>
      <c r="L130" s="46">
        <f t="shared" si="10"/>
        <v>16.596689639170886</v>
      </c>
      <c r="M130" s="236"/>
      <c r="N130" s="34"/>
      <c r="O130" s="13">
        <v>1.05</v>
      </c>
      <c r="P130" s="47">
        <v>16</v>
      </c>
      <c r="R130" s="13" t="s">
        <v>282</v>
      </c>
      <c r="S130" s="13">
        <v>23.714299658425027</v>
      </c>
    </row>
    <row r="131" spans="1:19" s="13" customFormat="1" ht="20.25" thickBot="1">
      <c r="A131" s="74"/>
      <c r="B131" s="210" t="s">
        <v>60</v>
      </c>
      <c r="C131" s="75" t="str">
        <f>'МРСК 2'!C131</f>
        <v>16+16</v>
      </c>
      <c r="D131" s="75">
        <v>3927</v>
      </c>
      <c r="E131" s="75">
        <v>1171</v>
      </c>
      <c r="F131" s="120">
        <f t="shared" si="8"/>
        <v>4.097873838956002</v>
      </c>
      <c r="G131" s="77">
        <v>2.797999999999999</v>
      </c>
      <c r="H131" s="78"/>
      <c r="I131" s="79">
        <f t="shared" si="11"/>
        <v>1.2998738389560032</v>
      </c>
      <c r="J131" s="79">
        <v>0</v>
      </c>
      <c r="K131" s="80">
        <f t="shared" si="9"/>
        <v>16.8</v>
      </c>
      <c r="L131" s="76">
        <f t="shared" si="10"/>
        <v>15.500126161043998</v>
      </c>
      <c r="M131" s="237"/>
      <c r="N131" s="81"/>
      <c r="O131" s="13">
        <v>1.05</v>
      </c>
      <c r="P131" s="47">
        <v>16</v>
      </c>
      <c r="R131" s="13" t="s">
        <v>283</v>
      </c>
      <c r="S131" s="13">
        <v>14.760462379458414</v>
      </c>
    </row>
    <row r="132" spans="1:19" s="13" customFormat="1" ht="20.25" thickTop="1">
      <c r="A132" s="82">
        <v>67</v>
      </c>
      <c r="B132" s="210" t="s">
        <v>128</v>
      </c>
      <c r="C132" s="84" t="str">
        <f>'МРСК 2'!C132</f>
        <v>20+25+25</v>
      </c>
      <c r="D132" s="84">
        <f>D133+D134</f>
        <v>27161</v>
      </c>
      <c r="E132" s="84">
        <f>E133+E134</f>
        <v>10201</v>
      </c>
      <c r="F132" s="120">
        <f t="shared" si="8"/>
        <v>29.013450708249096</v>
      </c>
      <c r="G132" s="85">
        <v>0</v>
      </c>
      <c r="H132" s="86"/>
      <c r="I132" s="87">
        <f t="shared" si="11"/>
        <v>29.013450708249096</v>
      </c>
      <c r="J132" s="87">
        <v>0</v>
      </c>
      <c r="K132" s="87">
        <f t="shared" si="9"/>
        <v>47.25</v>
      </c>
      <c r="L132" s="103">
        <f t="shared" si="10"/>
        <v>18.236549291750904</v>
      </c>
      <c r="M132" s="238">
        <f>MIN(L132:L134)</f>
        <v>18.236549291750904</v>
      </c>
      <c r="N132" s="88"/>
      <c r="O132" s="13">
        <v>1.05</v>
      </c>
      <c r="P132" s="47">
        <v>45</v>
      </c>
      <c r="R132" s="13" t="s">
        <v>284</v>
      </c>
      <c r="S132" s="13">
        <v>25.54293657745718</v>
      </c>
    </row>
    <row r="133" spans="1:19" s="13" customFormat="1" ht="19.5">
      <c r="A133" s="14"/>
      <c r="B133" s="210" t="s">
        <v>59</v>
      </c>
      <c r="C133" s="8" t="str">
        <f>'МРСК 2'!C133</f>
        <v>20+25+25</v>
      </c>
      <c r="D133" s="8">
        <v>5305</v>
      </c>
      <c r="E133" s="8">
        <v>2289</v>
      </c>
      <c r="F133" s="120">
        <f t="shared" si="8"/>
        <v>5.777763061947072</v>
      </c>
      <c r="G133" s="33">
        <v>0</v>
      </c>
      <c r="H133" s="47"/>
      <c r="I133" s="15">
        <f t="shared" si="11"/>
        <v>5.777763061947072</v>
      </c>
      <c r="J133" s="15">
        <v>0</v>
      </c>
      <c r="K133" s="31">
        <f t="shared" si="9"/>
        <v>47.25</v>
      </c>
      <c r="L133" s="46">
        <f t="shared" si="10"/>
        <v>41.47223693805293</v>
      </c>
      <c r="M133" s="236"/>
      <c r="N133" s="34"/>
      <c r="O133" s="13">
        <v>1.05</v>
      </c>
      <c r="P133" s="47">
        <v>45</v>
      </c>
      <c r="R133" s="13" t="s">
        <v>285</v>
      </c>
      <c r="S133" s="13">
        <v>2.4086377815496682</v>
      </c>
    </row>
    <row r="134" spans="1:19" s="13" customFormat="1" ht="20.25" thickBot="1">
      <c r="A134" s="74"/>
      <c r="B134" s="210" t="s">
        <v>60</v>
      </c>
      <c r="C134" s="75" t="str">
        <f>'МРСК 2'!C134</f>
        <v>20+25+25</v>
      </c>
      <c r="D134" s="75">
        <v>21856</v>
      </c>
      <c r="E134" s="75">
        <v>7912</v>
      </c>
      <c r="F134" s="120">
        <f t="shared" si="8"/>
        <v>23.244020306306737</v>
      </c>
      <c r="G134" s="77">
        <v>0</v>
      </c>
      <c r="H134" s="78"/>
      <c r="I134" s="79">
        <f t="shared" si="11"/>
        <v>23.244020306306737</v>
      </c>
      <c r="J134" s="79">
        <v>0</v>
      </c>
      <c r="K134" s="80">
        <f t="shared" si="9"/>
        <v>47.25</v>
      </c>
      <c r="L134" s="76">
        <f t="shared" si="10"/>
        <v>24.005979693693263</v>
      </c>
      <c r="M134" s="237"/>
      <c r="N134" s="81"/>
      <c r="O134" s="13">
        <v>1.05</v>
      </c>
      <c r="P134" s="47">
        <v>45</v>
      </c>
      <c r="R134" s="13" t="s">
        <v>286</v>
      </c>
      <c r="S134" s="13">
        <v>43.09093611728332</v>
      </c>
    </row>
    <row r="135" spans="1:16" s="13" customFormat="1" ht="20.25" thickTop="1">
      <c r="A135" s="82">
        <v>68</v>
      </c>
      <c r="B135" s="210" t="s">
        <v>129</v>
      </c>
      <c r="C135" s="84" t="str">
        <f>'МРСК 2'!C135</f>
        <v>16+16</v>
      </c>
      <c r="D135" s="84">
        <f>D136+D137</f>
        <v>6052</v>
      </c>
      <c r="E135" s="84">
        <f>E136+E137</f>
        <v>1769</v>
      </c>
      <c r="F135" s="120">
        <f t="shared" si="8"/>
        <v>6.305241073900347</v>
      </c>
      <c r="G135" s="85">
        <v>2.23</v>
      </c>
      <c r="H135" s="86">
        <v>80</v>
      </c>
      <c r="I135" s="87">
        <f t="shared" si="11"/>
        <v>4.075241073900347</v>
      </c>
      <c r="J135" s="87">
        <v>0</v>
      </c>
      <c r="K135" s="87">
        <f t="shared" si="9"/>
        <v>16.8</v>
      </c>
      <c r="L135" s="103">
        <f t="shared" si="10"/>
        <v>12.724758926099653</v>
      </c>
      <c r="M135" s="238">
        <f>MIN(L135:L137)</f>
        <v>4.357496432842785</v>
      </c>
      <c r="N135" s="88"/>
      <c r="O135" s="13">
        <v>1.05</v>
      </c>
      <c r="P135" s="47">
        <v>16</v>
      </c>
    </row>
    <row r="136" spans="1:16" s="13" customFormat="1" ht="19.5">
      <c r="A136" s="14"/>
      <c r="B136" s="210" t="s">
        <v>59</v>
      </c>
      <c r="C136" s="8" t="str">
        <f>'МРСК 2'!C136</f>
        <v>16+8</v>
      </c>
      <c r="D136" s="8">
        <v>7</v>
      </c>
      <c r="E136" s="8">
        <v>95</v>
      </c>
      <c r="F136" s="120">
        <f t="shared" si="8"/>
        <v>0.09525754563287887</v>
      </c>
      <c r="G136" s="33">
        <v>0</v>
      </c>
      <c r="H136" s="47"/>
      <c r="I136" s="15">
        <f t="shared" si="11"/>
        <v>0.09525754563287887</v>
      </c>
      <c r="J136" s="15">
        <v>0</v>
      </c>
      <c r="K136" s="31">
        <f t="shared" si="9"/>
        <v>8.4</v>
      </c>
      <c r="L136" s="46">
        <f t="shared" si="10"/>
        <v>8.30474245436712</v>
      </c>
      <c r="M136" s="236"/>
      <c r="N136" s="34"/>
      <c r="O136" s="13">
        <v>1.05</v>
      </c>
      <c r="P136" s="47">
        <v>8</v>
      </c>
    </row>
    <row r="137" spans="1:16" s="13" customFormat="1" ht="20.25" thickBot="1">
      <c r="A137" s="74"/>
      <c r="B137" s="210" t="s">
        <v>60</v>
      </c>
      <c r="C137" s="75" t="str">
        <f>'МРСК 2'!C137</f>
        <v>16+8</v>
      </c>
      <c r="D137" s="75">
        <v>6045</v>
      </c>
      <c r="E137" s="75">
        <v>1674</v>
      </c>
      <c r="F137" s="120">
        <f t="shared" si="8"/>
        <v>6.272503567157216</v>
      </c>
      <c r="G137" s="77">
        <v>2.23</v>
      </c>
      <c r="H137" s="78"/>
      <c r="I137" s="79">
        <f t="shared" si="11"/>
        <v>4.042503567157215</v>
      </c>
      <c r="J137" s="79">
        <v>0</v>
      </c>
      <c r="K137" s="80">
        <f t="shared" si="9"/>
        <v>8.4</v>
      </c>
      <c r="L137" s="76">
        <f t="shared" si="10"/>
        <v>4.357496432842785</v>
      </c>
      <c r="M137" s="237"/>
      <c r="N137" s="81"/>
      <c r="O137" s="13">
        <v>1.05</v>
      </c>
      <c r="P137" s="47">
        <v>8</v>
      </c>
    </row>
    <row r="138" spans="1:16" s="13" customFormat="1" ht="21" thickBot="1" thickTop="1">
      <c r="A138" s="14">
        <v>69</v>
      </c>
      <c r="B138" s="210" t="s">
        <v>130</v>
      </c>
      <c r="C138" s="47" t="str">
        <f>'МРСК 2'!C138</f>
        <v>15+15</v>
      </c>
      <c r="D138" s="47">
        <v>14665</v>
      </c>
      <c r="E138" s="47">
        <v>5743</v>
      </c>
      <c r="F138" s="120">
        <f t="shared" si="8"/>
        <v>15.74942138619702</v>
      </c>
      <c r="G138" s="46">
        <v>0</v>
      </c>
      <c r="H138" s="16"/>
      <c r="I138" s="46">
        <f t="shared" si="11"/>
        <v>15.74942138619702</v>
      </c>
      <c r="J138" s="15">
        <v>0</v>
      </c>
      <c r="K138" s="45">
        <f t="shared" si="9"/>
        <v>15.75</v>
      </c>
      <c r="L138" s="105">
        <f t="shared" si="10"/>
        <v>0.0005786138029808541</v>
      </c>
      <c r="M138" s="46">
        <f>L138</f>
        <v>0.0005786138029808541</v>
      </c>
      <c r="N138" s="34"/>
      <c r="O138" s="13">
        <v>1.05</v>
      </c>
      <c r="P138" s="47">
        <v>15</v>
      </c>
    </row>
    <row r="139" spans="1:16" s="13" customFormat="1" ht="20.25" thickTop="1">
      <c r="A139" s="82">
        <v>70</v>
      </c>
      <c r="B139" s="210" t="s">
        <v>131</v>
      </c>
      <c r="C139" s="84" t="str">
        <f>'МРСК 2'!C139</f>
        <v>16+16</v>
      </c>
      <c r="D139" s="84">
        <f>D140+D141</f>
        <v>12522</v>
      </c>
      <c r="E139" s="84">
        <f>E140+E141</f>
        <v>4336</v>
      </c>
      <c r="F139" s="120">
        <f t="shared" si="8"/>
        <v>13.251467088590607</v>
      </c>
      <c r="G139" s="85">
        <v>3.46</v>
      </c>
      <c r="H139" s="86">
        <v>45</v>
      </c>
      <c r="I139" s="87">
        <f t="shared" si="11"/>
        <v>9.791467088590608</v>
      </c>
      <c r="J139" s="87">
        <v>0</v>
      </c>
      <c r="K139" s="87">
        <f t="shared" si="9"/>
        <v>16.8</v>
      </c>
      <c r="L139" s="103">
        <f t="shared" si="10"/>
        <v>7.008532911409393</v>
      </c>
      <c r="M139" s="238">
        <f>MIN(L139:L141)</f>
        <v>7.008532911409393</v>
      </c>
      <c r="N139" s="88"/>
      <c r="O139" s="13">
        <v>1.05</v>
      </c>
      <c r="P139" s="47">
        <v>16</v>
      </c>
    </row>
    <row r="140" spans="1:16" s="13" customFormat="1" ht="19.5">
      <c r="A140" s="14"/>
      <c r="B140" s="210" t="s">
        <v>59</v>
      </c>
      <c r="C140" s="8" t="str">
        <f>'МРСК 2'!C140</f>
        <v>16+16</v>
      </c>
      <c r="D140" s="8">
        <v>4590</v>
      </c>
      <c r="E140" s="8">
        <v>1614</v>
      </c>
      <c r="F140" s="120">
        <f aca="true" t="shared" si="12" ref="F140:F203">SQRT(D140*D140+E140*E140)/1000</f>
        <v>4.865500590895041</v>
      </c>
      <c r="G140" s="33">
        <v>3.46</v>
      </c>
      <c r="H140" s="47"/>
      <c r="I140" s="15">
        <f t="shared" si="11"/>
        <v>1.4055005908950413</v>
      </c>
      <c r="J140" s="15">
        <v>0</v>
      </c>
      <c r="K140" s="31">
        <f t="shared" si="9"/>
        <v>16.8</v>
      </c>
      <c r="L140" s="46">
        <f t="shared" si="10"/>
        <v>15.39449940910496</v>
      </c>
      <c r="M140" s="236"/>
      <c r="N140" s="34"/>
      <c r="O140" s="13">
        <v>1.05</v>
      </c>
      <c r="P140" s="47">
        <v>16</v>
      </c>
    </row>
    <row r="141" spans="1:16" s="13" customFormat="1" ht="20.25" thickBot="1">
      <c r="A141" s="74"/>
      <c r="B141" s="210" t="s">
        <v>60</v>
      </c>
      <c r="C141" s="75" t="str">
        <f>'МРСК 2'!C141</f>
        <v>16+16</v>
      </c>
      <c r="D141" s="75">
        <v>7932</v>
      </c>
      <c r="E141" s="75">
        <v>2722</v>
      </c>
      <c r="F141" s="120">
        <f t="shared" si="12"/>
        <v>8.38605437616523</v>
      </c>
      <c r="G141" s="77">
        <v>0</v>
      </c>
      <c r="H141" s="78"/>
      <c r="I141" s="79">
        <f t="shared" si="11"/>
        <v>8.38605437616523</v>
      </c>
      <c r="J141" s="79">
        <v>0</v>
      </c>
      <c r="K141" s="80">
        <f t="shared" si="9"/>
        <v>16.8</v>
      </c>
      <c r="L141" s="76">
        <f t="shared" si="10"/>
        <v>8.41394562383477</v>
      </c>
      <c r="M141" s="237"/>
      <c r="N141" s="81"/>
      <c r="O141" s="13">
        <v>1.05</v>
      </c>
      <c r="P141" s="47">
        <v>16</v>
      </c>
    </row>
    <row r="142" spans="1:16" s="13" customFormat="1" ht="20.25" thickTop="1">
      <c r="A142" s="14">
        <v>71</v>
      </c>
      <c r="B142" s="210" t="s">
        <v>132</v>
      </c>
      <c r="C142" s="47" t="str">
        <f>'МРСК 2'!C142</f>
        <v>32+32</v>
      </c>
      <c r="D142" s="47">
        <v>8580</v>
      </c>
      <c r="E142" s="47">
        <v>3308</v>
      </c>
      <c r="F142" s="120">
        <f t="shared" si="12"/>
        <v>9.195611127054036</v>
      </c>
      <c r="G142" s="46">
        <v>5.56</v>
      </c>
      <c r="H142" s="16">
        <v>45</v>
      </c>
      <c r="I142" s="46">
        <f t="shared" si="11"/>
        <v>3.6356111270540366</v>
      </c>
      <c r="J142" s="15">
        <v>0</v>
      </c>
      <c r="K142" s="45">
        <f t="shared" si="9"/>
        <v>33.6</v>
      </c>
      <c r="L142" s="105">
        <f t="shared" si="10"/>
        <v>29.964388872945964</v>
      </c>
      <c r="M142" s="46">
        <f>MIN(L142:L142)</f>
        <v>29.964388872945964</v>
      </c>
      <c r="N142" s="34"/>
      <c r="O142" s="13">
        <v>1.05</v>
      </c>
      <c r="P142" s="47">
        <v>32</v>
      </c>
    </row>
    <row r="143" spans="1:16" s="13" customFormat="1" ht="20.25" thickBot="1">
      <c r="A143" s="14">
        <v>72</v>
      </c>
      <c r="B143" s="210" t="s">
        <v>133</v>
      </c>
      <c r="C143" s="47" t="str">
        <f>'МРСК 2'!C143</f>
        <v>40+40</v>
      </c>
      <c r="D143" s="47">
        <v>31170</v>
      </c>
      <c r="E143" s="47">
        <v>5706</v>
      </c>
      <c r="F143" s="120">
        <f t="shared" si="12"/>
        <v>31.68796831606596</v>
      </c>
      <c r="G143" s="46">
        <v>0</v>
      </c>
      <c r="H143" s="16"/>
      <c r="I143" s="46">
        <f t="shared" si="11"/>
        <v>31.68796831606596</v>
      </c>
      <c r="J143" s="15">
        <v>0</v>
      </c>
      <c r="K143" s="45">
        <f t="shared" si="9"/>
        <v>42</v>
      </c>
      <c r="L143" s="105">
        <f t="shared" si="10"/>
        <v>10.312031683934041</v>
      </c>
      <c r="M143" s="46">
        <f>MIN(L143:L143)</f>
        <v>10.312031683934041</v>
      </c>
      <c r="N143" s="34"/>
      <c r="O143" s="13">
        <v>1.05</v>
      </c>
      <c r="P143" s="47">
        <v>40</v>
      </c>
    </row>
    <row r="144" spans="1:16" s="13" customFormat="1" ht="20.25" thickTop="1">
      <c r="A144" s="82">
        <v>73</v>
      </c>
      <c r="B144" s="210" t="s">
        <v>134</v>
      </c>
      <c r="C144" s="84" t="str">
        <f>'МРСК 2'!C144</f>
        <v>25+25</v>
      </c>
      <c r="D144" s="84">
        <f>D145+D146</f>
        <v>23134</v>
      </c>
      <c r="E144" s="84">
        <f>E145+E146</f>
        <v>8712</v>
      </c>
      <c r="F144" s="120">
        <f t="shared" si="12"/>
        <v>24.720050566291324</v>
      </c>
      <c r="G144" s="85">
        <v>20.54</v>
      </c>
      <c r="H144" s="86">
        <v>80</v>
      </c>
      <c r="I144" s="87">
        <f t="shared" si="11"/>
        <v>4.1800505662913245</v>
      </c>
      <c r="J144" s="87">
        <v>0</v>
      </c>
      <c r="K144" s="87">
        <f t="shared" si="9"/>
        <v>26.25</v>
      </c>
      <c r="L144" s="103">
        <f t="shared" si="10"/>
        <v>22.069949433708675</v>
      </c>
      <c r="M144" s="238">
        <f>MIN(L144:L146)</f>
        <v>22.069949433708675</v>
      </c>
      <c r="N144" s="88"/>
      <c r="O144" s="13">
        <v>1.05</v>
      </c>
      <c r="P144" s="47">
        <v>25</v>
      </c>
    </row>
    <row r="145" spans="1:16" s="13" customFormat="1" ht="19.5">
      <c r="A145" s="14"/>
      <c r="B145" s="210" t="s">
        <v>59</v>
      </c>
      <c r="C145" s="8" t="str">
        <f>'МРСК 2'!C145</f>
        <v>25+25</v>
      </c>
      <c r="D145" s="8">
        <v>21521</v>
      </c>
      <c r="E145" s="8">
        <v>7872</v>
      </c>
      <c r="F145" s="120">
        <f t="shared" si="12"/>
        <v>22.915536760023755</v>
      </c>
      <c r="G145" s="33">
        <v>19.676</v>
      </c>
      <c r="H145" s="47"/>
      <c r="I145" s="15">
        <f t="shared" si="11"/>
        <v>3.239536760023757</v>
      </c>
      <c r="J145" s="15">
        <v>0</v>
      </c>
      <c r="K145" s="31">
        <f t="shared" si="9"/>
        <v>26.25</v>
      </c>
      <c r="L145" s="46">
        <f t="shared" si="10"/>
        <v>23.010463239976243</v>
      </c>
      <c r="M145" s="236"/>
      <c r="N145" s="34"/>
      <c r="O145" s="13">
        <v>1.05</v>
      </c>
      <c r="P145" s="47">
        <v>25</v>
      </c>
    </row>
    <row r="146" spans="1:16" s="13" customFormat="1" ht="20.25" thickBot="1">
      <c r="A146" s="74"/>
      <c r="B146" s="210" t="s">
        <v>60</v>
      </c>
      <c r="C146" s="75" t="str">
        <f>'МРСК 2'!C146</f>
        <v>25+25</v>
      </c>
      <c r="D146" s="75">
        <v>1613</v>
      </c>
      <c r="E146" s="75">
        <v>840</v>
      </c>
      <c r="F146" s="120">
        <f t="shared" si="12"/>
        <v>1.818617331931047</v>
      </c>
      <c r="G146" s="77">
        <v>0</v>
      </c>
      <c r="H146" s="78"/>
      <c r="I146" s="79">
        <f t="shared" si="11"/>
        <v>1.818617331931047</v>
      </c>
      <c r="J146" s="79">
        <v>0</v>
      </c>
      <c r="K146" s="80">
        <f t="shared" si="9"/>
        <v>26.25</v>
      </c>
      <c r="L146" s="76">
        <f t="shared" si="10"/>
        <v>24.431382668068952</v>
      </c>
      <c r="M146" s="237"/>
      <c r="N146" s="81"/>
      <c r="O146" s="13">
        <v>1.05</v>
      </c>
      <c r="P146" s="47">
        <v>25</v>
      </c>
    </row>
    <row r="147" spans="1:16" s="13" customFormat="1" ht="20.25" thickTop="1">
      <c r="A147" s="82">
        <v>74</v>
      </c>
      <c r="B147" s="210" t="s">
        <v>135</v>
      </c>
      <c r="C147" s="84" t="str">
        <f>'МРСК 2'!C147</f>
        <v>16+16</v>
      </c>
      <c r="D147" s="84">
        <f>D148+D149</f>
        <v>16319</v>
      </c>
      <c r="E147" s="84">
        <f>E148+E149</f>
        <v>6059</v>
      </c>
      <c r="F147" s="120">
        <f t="shared" si="12"/>
        <v>17.407505335343142</v>
      </c>
      <c r="G147" s="85">
        <v>5.969</v>
      </c>
      <c r="H147" s="86">
        <v>120</v>
      </c>
      <c r="I147" s="87">
        <f t="shared" si="11"/>
        <v>11.438505335343141</v>
      </c>
      <c r="J147" s="87">
        <v>0</v>
      </c>
      <c r="K147" s="87">
        <f t="shared" si="9"/>
        <v>16.8</v>
      </c>
      <c r="L147" s="103">
        <f t="shared" si="10"/>
        <v>5.36149466465686</v>
      </c>
      <c r="M147" s="238">
        <f>MIN(L147:L149)</f>
        <v>5.36149466465686</v>
      </c>
      <c r="N147" s="88"/>
      <c r="O147" s="13">
        <v>1.05</v>
      </c>
      <c r="P147" s="47">
        <v>16</v>
      </c>
    </row>
    <row r="148" spans="1:16" s="13" customFormat="1" ht="19.5">
      <c r="A148" s="14"/>
      <c r="B148" s="210" t="s">
        <v>59</v>
      </c>
      <c r="C148" s="8" t="str">
        <f>'МРСК 2'!C148</f>
        <v>16+16</v>
      </c>
      <c r="D148" s="8">
        <v>7422</v>
      </c>
      <c r="E148" s="8">
        <v>3146</v>
      </c>
      <c r="F148" s="120">
        <f t="shared" si="12"/>
        <v>8.061228194264197</v>
      </c>
      <c r="G148" s="33">
        <v>5.969</v>
      </c>
      <c r="H148" s="47"/>
      <c r="I148" s="15">
        <f t="shared" si="11"/>
        <v>2.092228194264197</v>
      </c>
      <c r="J148" s="15">
        <v>0</v>
      </c>
      <c r="K148" s="31">
        <f t="shared" si="9"/>
        <v>16.8</v>
      </c>
      <c r="L148" s="46">
        <f t="shared" si="10"/>
        <v>14.707771805735803</v>
      </c>
      <c r="M148" s="236"/>
      <c r="N148" s="34"/>
      <c r="O148" s="13">
        <v>1.05</v>
      </c>
      <c r="P148" s="47">
        <v>16</v>
      </c>
    </row>
    <row r="149" spans="1:16" s="13" customFormat="1" ht="20.25" thickBot="1">
      <c r="A149" s="74"/>
      <c r="B149" s="210" t="s">
        <v>60</v>
      </c>
      <c r="C149" s="75" t="str">
        <f>'МРСК 2'!C149</f>
        <v>16+16</v>
      </c>
      <c r="D149" s="75">
        <v>8897</v>
      </c>
      <c r="E149" s="75">
        <v>2913</v>
      </c>
      <c r="F149" s="120">
        <f t="shared" si="12"/>
        <v>9.36174011602544</v>
      </c>
      <c r="G149" s="77">
        <v>0</v>
      </c>
      <c r="H149" s="78"/>
      <c r="I149" s="79">
        <f t="shared" si="11"/>
        <v>9.36174011602544</v>
      </c>
      <c r="J149" s="79">
        <v>0</v>
      </c>
      <c r="K149" s="80">
        <f t="shared" si="9"/>
        <v>16.8</v>
      </c>
      <c r="L149" s="76">
        <f t="shared" si="10"/>
        <v>7.4382598839745615</v>
      </c>
      <c r="M149" s="237"/>
      <c r="N149" s="81"/>
      <c r="O149" s="13">
        <v>1.05</v>
      </c>
      <c r="P149" s="47">
        <v>16</v>
      </c>
    </row>
    <row r="150" spans="1:16" s="13" customFormat="1" ht="20.25" thickTop="1">
      <c r="A150" s="82">
        <v>75</v>
      </c>
      <c r="B150" s="210" t="s">
        <v>136</v>
      </c>
      <c r="C150" s="84" t="str">
        <f>'МРСК 2'!C150</f>
        <v>40+40</v>
      </c>
      <c r="D150" s="84">
        <f>D151+D152</f>
        <v>27508</v>
      </c>
      <c r="E150" s="84">
        <f>E151+E152</f>
        <v>12250</v>
      </c>
      <c r="F150" s="120">
        <f t="shared" si="12"/>
        <v>30.112332423776145</v>
      </c>
      <c r="G150" s="85">
        <v>16.65</v>
      </c>
      <c r="H150" s="86">
        <v>120</v>
      </c>
      <c r="I150" s="87">
        <f t="shared" si="11"/>
        <v>13.462332423776147</v>
      </c>
      <c r="J150" s="87">
        <v>0</v>
      </c>
      <c r="K150" s="87">
        <f t="shared" si="9"/>
        <v>42</v>
      </c>
      <c r="L150" s="103">
        <f t="shared" si="10"/>
        <v>28.537667576223853</v>
      </c>
      <c r="M150" s="238">
        <f>MIN(L150:L152)</f>
        <v>28.537667576223853</v>
      </c>
      <c r="N150" s="88"/>
      <c r="O150" s="13">
        <v>1.05</v>
      </c>
      <c r="P150" s="47">
        <v>40</v>
      </c>
    </row>
    <row r="151" spans="1:16" s="13" customFormat="1" ht="19.5">
      <c r="A151" s="14"/>
      <c r="B151" s="210" t="s">
        <v>59</v>
      </c>
      <c r="C151" s="8" t="str">
        <f>'МРСК 2'!C151</f>
        <v>40+40</v>
      </c>
      <c r="D151" s="8">
        <v>15624</v>
      </c>
      <c r="E151" s="8">
        <v>7736</v>
      </c>
      <c r="F151" s="120">
        <f t="shared" si="12"/>
        <v>17.434307327794816</v>
      </c>
      <c r="G151" s="33">
        <v>11.682</v>
      </c>
      <c r="H151" s="47"/>
      <c r="I151" s="15">
        <f t="shared" si="11"/>
        <v>5.752307327794815</v>
      </c>
      <c r="J151" s="15">
        <v>0</v>
      </c>
      <c r="K151" s="31">
        <f t="shared" si="9"/>
        <v>42</v>
      </c>
      <c r="L151" s="46">
        <f t="shared" si="10"/>
        <v>36.24769267220518</v>
      </c>
      <c r="M151" s="236"/>
      <c r="N151" s="34"/>
      <c r="O151" s="13">
        <v>1.05</v>
      </c>
      <c r="P151" s="47">
        <v>40</v>
      </c>
    </row>
    <row r="152" spans="1:16" s="13" customFormat="1" ht="20.25" thickBot="1">
      <c r="A152" s="74"/>
      <c r="B152" s="210" t="s">
        <v>60</v>
      </c>
      <c r="C152" s="75" t="str">
        <f>'МРСК 2'!C152</f>
        <v>40+40</v>
      </c>
      <c r="D152" s="75">
        <v>11884</v>
      </c>
      <c r="E152" s="75">
        <v>4514</v>
      </c>
      <c r="F152" s="120">
        <f t="shared" si="12"/>
        <v>12.712421169863749</v>
      </c>
      <c r="G152" s="77">
        <v>4.967999999999998</v>
      </c>
      <c r="H152" s="78"/>
      <c r="I152" s="79">
        <f t="shared" si="11"/>
        <v>7.744421169863751</v>
      </c>
      <c r="J152" s="79">
        <v>0</v>
      </c>
      <c r="K152" s="80">
        <f t="shared" si="9"/>
        <v>42</v>
      </c>
      <c r="L152" s="76">
        <f t="shared" si="10"/>
        <v>34.25557883013625</v>
      </c>
      <c r="M152" s="237"/>
      <c r="N152" s="81"/>
      <c r="O152" s="13">
        <v>1.05</v>
      </c>
      <c r="P152" s="47">
        <v>40</v>
      </c>
    </row>
    <row r="153" spans="1:16" s="13" customFormat="1" ht="21" thickBot="1" thickTop="1">
      <c r="A153" s="14">
        <v>76</v>
      </c>
      <c r="B153" s="210" t="s">
        <v>137</v>
      </c>
      <c r="C153" s="47" t="str">
        <f>'МРСК 2'!C153</f>
        <v>3,2+10</v>
      </c>
      <c r="D153" s="47">
        <v>2394</v>
      </c>
      <c r="E153" s="47">
        <v>805</v>
      </c>
      <c r="F153" s="120">
        <f t="shared" si="12"/>
        <v>2.525719897375796</v>
      </c>
      <c r="G153" s="46">
        <v>0</v>
      </c>
      <c r="H153" s="16"/>
      <c r="I153" s="46">
        <f t="shared" si="11"/>
        <v>2.525719897375796</v>
      </c>
      <c r="J153" s="15">
        <v>0</v>
      </c>
      <c r="K153" s="45">
        <f t="shared" si="9"/>
        <v>3.3600000000000003</v>
      </c>
      <c r="L153" s="105">
        <f t="shared" si="10"/>
        <v>0.8342801026242044</v>
      </c>
      <c r="M153" s="46">
        <f>L153</f>
        <v>0.8342801026242044</v>
      </c>
      <c r="N153" s="34"/>
      <c r="O153" s="13">
        <v>1.05</v>
      </c>
      <c r="P153" s="47">
        <v>3.2</v>
      </c>
    </row>
    <row r="154" spans="1:16" s="13" customFormat="1" ht="20.25" thickTop="1">
      <c r="A154" s="82">
        <v>77</v>
      </c>
      <c r="B154" s="210" t="s">
        <v>138</v>
      </c>
      <c r="C154" s="84" t="str">
        <f>'МРСК 2'!C154</f>
        <v>40+40</v>
      </c>
      <c r="D154" s="84">
        <f>D155+D156</f>
        <v>44406</v>
      </c>
      <c r="E154" s="84">
        <f>E155+E156</f>
        <v>12168</v>
      </c>
      <c r="F154" s="120">
        <f t="shared" si="12"/>
        <v>46.042947994236854</v>
      </c>
      <c r="G154" s="85">
        <v>12.94</v>
      </c>
      <c r="H154" s="86">
        <v>120</v>
      </c>
      <c r="I154" s="87">
        <f t="shared" si="11"/>
        <v>33.10294799423686</v>
      </c>
      <c r="J154" s="87">
        <v>0</v>
      </c>
      <c r="K154" s="87">
        <f t="shared" si="9"/>
        <v>42</v>
      </c>
      <c r="L154" s="103">
        <f t="shared" si="10"/>
        <v>8.897052005763143</v>
      </c>
      <c r="M154" s="238">
        <f>MIN(L154:L156)</f>
        <v>8.897052005763143</v>
      </c>
      <c r="N154" s="88"/>
      <c r="O154" s="13">
        <v>1.05</v>
      </c>
      <c r="P154" s="47">
        <v>40</v>
      </c>
    </row>
    <row r="155" spans="1:16" s="13" customFormat="1" ht="19.5">
      <c r="A155" s="14"/>
      <c r="B155" s="210" t="s">
        <v>59</v>
      </c>
      <c r="C155" s="8" t="str">
        <f>'МРСК 2'!C155</f>
        <v>40+40</v>
      </c>
      <c r="D155" s="8">
        <v>7092</v>
      </c>
      <c r="E155" s="8">
        <v>1440</v>
      </c>
      <c r="F155" s="120">
        <f t="shared" si="12"/>
        <v>7.236716382448603</v>
      </c>
      <c r="G155" s="33">
        <v>3.42</v>
      </c>
      <c r="H155" s="47"/>
      <c r="I155" s="15">
        <f t="shared" si="11"/>
        <v>3.816716382448603</v>
      </c>
      <c r="J155" s="15">
        <v>0</v>
      </c>
      <c r="K155" s="31">
        <f t="shared" si="9"/>
        <v>42</v>
      </c>
      <c r="L155" s="46">
        <f t="shared" si="10"/>
        <v>38.183283617551396</v>
      </c>
      <c r="M155" s="236"/>
      <c r="N155" s="34"/>
      <c r="O155" s="13">
        <v>1.05</v>
      </c>
      <c r="P155" s="47">
        <v>40</v>
      </c>
    </row>
    <row r="156" spans="1:16" s="13" customFormat="1" ht="20.25" thickBot="1">
      <c r="A156" s="74"/>
      <c r="B156" s="210" t="s">
        <v>60</v>
      </c>
      <c r="C156" s="75" t="str">
        <f>'МРСК 2'!C156</f>
        <v>40+40</v>
      </c>
      <c r="D156" s="75">
        <v>37314</v>
      </c>
      <c r="E156" s="75">
        <v>10728</v>
      </c>
      <c r="F156" s="120">
        <f t="shared" si="12"/>
        <v>38.8255660615528</v>
      </c>
      <c r="G156" s="77">
        <v>9.52</v>
      </c>
      <c r="H156" s="78"/>
      <c r="I156" s="79">
        <f t="shared" si="11"/>
        <v>29.3055660615528</v>
      </c>
      <c r="J156" s="79">
        <v>0</v>
      </c>
      <c r="K156" s="80">
        <f t="shared" si="9"/>
        <v>42</v>
      </c>
      <c r="L156" s="76">
        <f t="shared" si="10"/>
        <v>12.694433938447201</v>
      </c>
      <c r="M156" s="237"/>
      <c r="N156" s="81"/>
      <c r="O156" s="13">
        <v>1.05</v>
      </c>
      <c r="P156" s="47">
        <v>40</v>
      </c>
    </row>
    <row r="157" spans="1:16" s="13" customFormat="1" ht="20.25" thickTop="1">
      <c r="A157" s="14">
        <v>78</v>
      </c>
      <c r="B157" s="210" t="s">
        <v>139</v>
      </c>
      <c r="C157" s="47" t="str">
        <f>'МРСК 2'!C157</f>
        <v>2,5+2,5</v>
      </c>
      <c r="D157" s="47">
        <v>776</v>
      </c>
      <c r="E157" s="47">
        <v>312</v>
      </c>
      <c r="F157" s="120">
        <f t="shared" si="12"/>
        <v>0.836373122475848</v>
      </c>
      <c r="G157" s="46">
        <v>0.4326661530556787</v>
      </c>
      <c r="H157" s="16">
        <v>120</v>
      </c>
      <c r="I157" s="46">
        <f t="shared" si="11"/>
        <v>0.40370696942016937</v>
      </c>
      <c r="J157" s="15">
        <v>0</v>
      </c>
      <c r="K157" s="45">
        <f t="shared" si="9"/>
        <v>2.625</v>
      </c>
      <c r="L157" s="105">
        <f t="shared" si="10"/>
        <v>2.2212930305798304</v>
      </c>
      <c r="M157" s="46">
        <f>L157</f>
        <v>2.2212930305798304</v>
      </c>
      <c r="N157" s="34"/>
      <c r="O157" s="13">
        <v>1.05</v>
      </c>
      <c r="P157" s="47">
        <v>2.5</v>
      </c>
    </row>
    <row r="158" spans="1:16" s="13" customFormat="1" ht="19.5">
      <c r="A158" s="14">
        <v>79</v>
      </c>
      <c r="B158" s="210" t="s">
        <v>140</v>
      </c>
      <c r="C158" s="47" t="str">
        <f>'МРСК 2'!C158</f>
        <v>2,5+2,5</v>
      </c>
      <c r="D158" s="47">
        <v>928</v>
      </c>
      <c r="E158" s="47">
        <v>280</v>
      </c>
      <c r="F158" s="120">
        <f t="shared" si="12"/>
        <v>0.9693214121229345</v>
      </c>
      <c r="G158" s="46">
        <v>0.46639018642623853</v>
      </c>
      <c r="H158" s="16">
        <v>120</v>
      </c>
      <c r="I158" s="46">
        <f t="shared" si="11"/>
        <v>0.502931225696696</v>
      </c>
      <c r="J158" s="15">
        <v>0</v>
      </c>
      <c r="K158" s="45">
        <f t="shared" si="9"/>
        <v>2.625</v>
      </c>
      <c r="L158" s="105">
        <f t="shared" si="10"/>
        <v>2.1220687743033038</v>
      </c>
      <c r="M158" s="46">
        <f aca="true" t="shared" si="13" ref="M158:M221">L158</f>
        <v>2.1220687743033038</v>
      </c>
      <c r="N158" s="34"/>
      <c r="O158" s="13">
        <v>1.05</v>
      </c>
      <c r="P158" s="47">
        <v>2.5</v>
      </c>
    </row>
    <row r="159" spans="1:16" s="13" customFormat="1" ht="19.5">
      <c r="A159" s="14">
        <v>80</v>
      </c>
      <c r="B159" s="210" t="s">
        <v>141</v>
      </c>
      <c r="C159" s="47" t="str">
        <f>'МРСК 2'!C159</f>
        <v>4+4</v>
      </c>
      <c r="D159" s="47">
        <v>872</v>
      </c>
      <c r="E159" s="47">
        <v>312</v>
      </c>
      <c r="F159" s="120">
        <f t="shared" si="12"/>
        <v>0.9261360591187453</v>
      </c>
      <c r="G159" s="46">
        <v>0</v>
      </c>
      <c r="H159" s="16"/>
      <c r="I159" s="46">
        <f t="shared" si="11"/>
        <v>0.9261360591187453</v>
      </c>
      <c r="J159" s="15">
        <v>0</v>
      </c>
      <c r="K159" s="45">
        <f t="shared" si="9"/>
        <v>4.2</v>
      </c>
      <c r="L159" s="105">
        <f t="shared" si="10"/>
        <v>3.273863940881255</v>
      </c>
      <c r="M159" s="46">
        <f t="shared" si="13"/>
        <v>3.273863940881255</v>
      </c>
      <c r="N159" s="34"/>
      <c r="O159" s="13">
        <v>1.05</v>
      </c>
      <c r="P159" s="47">
        <v>4</v>
      </c>
    </row>
    <row r="160" spans="1:16" s="13" customFormat="1" ht="19.5">
      <c r="A160" s="14">
        <v>81</v>
      </c>
      <c r="B160" s="210" t="s">
        <v>142</v>
      </c>
      <c r="C160" s="47" t="str">
        <f>'МРСК 2'!C160</f>
        <v>2,5+2,5</v>
      </c>
      <c r="D160" s="47">
        <v>1014</v>
      </c>
      <c r="E160" s="47">
        <v>366</v>
      </c>
      <c r="F160" s="120">
        <f t="shared" si="12"/>
        <v>1.0780315394273028</v>
      </c>
      <c r="G160" s="46">
        <v>0.4465178692384436</v>
      </c>
      <c r="H160" s="16">
        <v>80</v>
      </c>
      <c r="I160" s="46">
        <f t="shared" si="11"/>
        <v>0.6315136701888592</v>
      </c>
      <c r="J160" s="15">
        <v>0</v>
      </c>
      <c r="K160" s="45">
        <f t="shared" si="9"/>
        <v>2.625</v>
      </c>
      <c r="L160" s="105">
        <f t="shared" si="10"/>
        <v>1.993486329811141</v>
      </c>
      <c r="M160" s="46">
        <f t="shared" si="13"/>
        <v>1.993486329811141</v>
      </c>
      <c r="N160" s="34"/>
      <c r="O160" s="13">
        <v>1.05</v>
      </c>
      <c r="P160" s="47">
        <v>2.5</v>
      </c>
    </row>
    <row r="161" spans="1:16" s="13" customFormat="1" ht="19.5">
      <c r="A161" s="14">
        <v>82</v>
      </c>
      <c r="B161" s="210" t="s">
        <v>143</v>
      </c>
      <c r="C161" s="47" t="str">
        <f>'МРСК 2'!C161</f>
        <v>6,3+6,3</v>
      </c>
      <c r="D161" s="47">
        <v>3332</v>
      </c>
      <c r="E161" s="47">
        <v>2520</v>
      </c>
      <c r="F161" s="120">
        <f t="shared" si="12"/>
        <v>4.177633780024285</v>
      </c>
      <c r="G161" s="46">
        <v>0.55</v>
      </c>
      <c r="H161" s="16">
        <v>45</v>
      </c>
      <c r="I161" s="46">
        <f t="shared" si="11"/>
        <v>3.6276337800242855</v>
      </c>
      <c r="J161" s="15">
        <v>0</v>
      </c>
      <c r="K161" s="45">
        <f t="shared" si="9"/>
        <v>6.615</v>
      </c>
      <c r="L161" s="105">
        <f t="shared" si="10"/>
        <v>2.9873662199757147</v>
      </c>
      <c r="M161" s="46">
        <f t="shared" si="13"/>
        <v>2.9873662199757147</v>
      </c>
      <c r="N161" s="34"/>
      <c r="O161" s="13">
        <v>1.05</v>
      </c>
      <c r="P161" s="47">
        <v>6.3</v>
      </c>
    </row>
    <row r="162" spans="1:16" s="13" customFormat="1" ht="19.5">
      <c r="A162" s="14">
        <v>83</v>
      </c>
      <c r="B162" s="210" t="s">
        <v>144</v>
      </c>
      <c r="C162" s="47" t="str">
        <f>'МРСК 2'!C162</f>
        <v>4+4</v>
      </c>
      <c r="D162" s="47">
        <v>2632</v>
      </c>
      <c r="E162" s="47">
        <v>912</v>
      </c>
      <c r="F162" s="120">
        <f t="shared" si="12"/>
        <v>2.785528316136815</v>
      </c>
      <c r="G162" s="46">
        <v>1.191</v>
      </c>
      <c r="H162" s="16">
        <v>120</v>
      </c>
      <c r="I162" s="46">
        <f t="shared" si="11"/>
        <v>1.5945283161368151</v>
      </c>
      <c r="J162" s="15">
        <v>0</v>
      </c>
      <c r="K162" s="45">
        <f aca="true" t="shared" si="14" ref="K162:K225">O162*P162</f>
        <v>4.2</v>
      </c>
      <c r="L162" s="105">
        <f aca="true" t="shared" si="15" ref="L162:L225">K162-J162-I162</f>
        <v>2.6054716838631853</v>
      </c>
      <c r="M162" s="46">
        <f t="shared" si="13"/>
        <v>2.6054716838631853</v>
      </c>
      <c r="N162" s="34"/>
      <c r="O162" s="13">
        <v>1.05</v>
      </c>
      <c r="P162" s="47">
        <v>4</v>
      </c>
    </row>
    <row r="163" spans="1:16" s="13" customFormat="1" ht="19.5">
      <c r="A163" s="14">
        <v>84</v>
      </c>
      <c r="B163" s="210" t="s">
        <v>145</v>
      </c>
      <c r="C163" s="47" t="str">
        <f>'МРСК 2'!C163</f>
        <v>4+4</v>
      </c>
      <c r="D163" s="47">
        <v>1136</v>
      </c>
      <c r="E163" s="47">
        <v>448</v>
      </c>
      <c r="F163" s="120">
        <f t="shared" si="12"/>
        <v>1.2211470017978998</v>
      </c>
      <c r="G163" s="46">
        <v>0.6248809275468652</v>
      </c>
      <c r="H163" s="16">
        <v>80</v>
      </c>
      <c r="I163" s="46">
        <f t="shared" si="11"/>
        <v>0.5962660742510346</v>
      </c>
      <c r="J163" s="15">
        <v>0</v>
      </c>
      <c r="K163" s="45">
        <f t="shared" si="14"/>
        <v>4.2</v>
      </c>
      <c r="L163" s="105">
        <f t="shared" si="15"/>
        <v>3.6037339257489656</v>
      </c>
      <c r="M163" s="46">
        <f t="shared" si="13"/>
        <v>3.6037339257489656</v>
      </c>
      <c r="N163" s="34"/>
      <c r="O163" s="13">
        <v>1.05</v>
      </c>
      <c r="P163" s="47">
        <v>4</v>
      </c>
    </row>
    <row r="164" spans="1:16" s="13" customFormat="1" ht="19.5">
      <c r="A164" s="14">
        <v>85</v>
      </c>
      <c r="B164" s="210" t="s">
        <v>146</v>
      </c>
      <c r="C164" s="47" t="str">
        <f>'МРСК 2'!C164</f>
        <v>2,5+2,5</v>
      </c>
      <c r="D164" s="47">
        <v>1032</v>
      </c>
      <c r="E164" s="47">
        <v>420</v>
      </c>
      <c r="F164" s="120">
        <f t="shared" si="12"/>
        <v>1.1141920839783417</v>
      </c>
      <c r="G164" s="46">
        <v>0.447794595769087</v>
      </c>
      <c r="H164" s="16">
        <v>45</v>
      </c>
      <c r="I164" s="46">
        <f t="shared" si="11"/>
        <v>0.6663974882092547</v>
      </c>
      <c r="J164" s="15">
        <v>0</v>
      </c>
      <c r="K164" s="45">
        <f t="shared" si="14"/>
        <v>2.625</v>
      </c>
      <c r="L164" s="105">
        <f t="shared" si="15"/>
        <v>1.9586025117907453</v>
      </c>
      <c r="M164" s="46">
        <f t="shared" si="13"/>
        <v>1.9586025117907453</v>
      </c>
      <c r="N164" s="34"/>
      <c r="O164" s="13">
        <v>1.05</v>
      </c>
      <c r="P164" s="47">
        <v>2.5</v>
      </c>
    </row>
    <row r="165" spans="1:16" s="13" customFormat="1" ht="19.5">
      <c r="A165" s="14">
        <v>86</v>
      </c>
      <c r="B165" s="210" t="s">
        <v>147</v>
      </c>
      <c r="C165" s="47" t="str">
        <f>'МРСК 2'!C165</f>
        <v>2,5+2,5</v>
      </c>
      <c r="D165" s="47">
        <v>808</v>
      </c>
      <c r="E165" s="47">
        <v>408</v>
      </c>
      <c r="F165" s="120">
        <f t="shared" si="12"/>
        <v>0.9051673878349794</v>
      </c>
      <c r="G165" s="46">
        <v>0.606</v>
      </c>
      <c r="H165" s="16">
        <v>45</v>
      </c>
      <c r="I165" s="46">
        <f t="shared" si="11"/>
        <v>0.2991673878349794</v>
      </c>
      <c r="J165" s="15">
        <v>0</v>
      </c>
      <c r="K165" s="45">
        <f t="shared" si="14"/>
        <v>2.625</v>
      </c>
      <c r="L165" s="105">
        <f t="shared" si="15"/>
        <v>2.3258326121650206</v>
      </c>
      <c r="M165" s="46">
        <f t="shared" si="13"/>
        <v>2.3258326121650206</v>
      </c>
      <c r="N165" s="34"/>
      <c r="O165" s="13">
        <v>1.05</v>
      </c>
      <c r="P165" s="47">
        <v>2.5</v>
      </c>
    </row>
    <row r="166" spans="1:16" s="13" customFormat="1" ht="19.5">
      <c r="A166" s="14">
        <v>87</v>
      </c>
      <c r="B166" s="210" t="s">
        <v>148</v>
      </c>
      <c r="C166" s="47" t="str">
        <f>'МРСК 2'!C166</f>
        <v>6,3+6,3</v>
      </c>
      <c r="D166" s="47">
        <v>3564</v>
      </c>
      <c r="E166" s="47">
        <v>1236</v>
      </c>
      <c r="F166" s="120">
        <f t="shared" si="12"/>
        <v>3.7722396530443287</v>
      </c>
      <c r="G166" s="46">
        <v>2.83</v>
      </c>
      <c r="H166" s="16">
        <v>45</v>
      </c>
      <c r="I166" s="46">
        <f t="shared" si="11"/>
        <v>0.9422396530443287</v>
      </c>
      <c r="J166" s="15">
        <v>0</v>
      </c>
      <c r="K166" s="45">
        <f t="shared" si="14"/>
        <v>6.615</v>
      </c>
      <c r="L166" s="105">
        <f t="shared" si="15"/>
        <v>5.6727603469556716</v>
      </c>
      <c r="M166" s="46">
        <f t="shared" si="13"/>
        <v>5.6727603469556716</v>
      </c>
      <c r="N166" s="34"/>
      <c r="O166" s="13">
        <v>1.05</v>
      </c>
      <c r="P166" s="47">
        <v>6.3</v>
      </c>
    </row>
    <row r="167" spans="1:16" s="13" customFormat="1" ht="19.5">
      <c r="A167" s="14">
        <v>88</v>
      </c>
      <c r="B167" s="210" t="s">
        <v>149</v>
      </c>
      <c r="C167" s="47" t="str">
        <f>'МРСК 2'!C167</f>
        <v>4+4</v>
      </c>
      <c r="D167" s="47">
        <v>3592</v>
      </c>
      <c r="E167" s="47">
        <v>1632</v>
      </c>
      <c r="F167" s="120">
        <f t="shared" si="12"/>
        <v>3.9453628476985485</v>
      </c>
      <c r="G167" s="46">
        <v>1.21</v>
      </c>
      <c r="H167" s="16">
        <v>80</v>
      </c>
      <c r="I167" s="46">
        <f t="shared" si="11"/>
        <v>2.7353628476985485</v>
      </c>
      <c r="J167" s="15">
        <v>0</v>
      </c>
      <c r="K167" s="45">
        <f t="shared" si="14"/>
        <v>4.2</v>
      </c>
      <c r="L167" s="105">
        <f t="shared" si="15"/>
        <v>1.4646371523014516</v>
      </c>
      <c r="M167" s="46">
        <f t="shared" si="13"/>
        <v>1.4646371523014516</v>
      </c>
      <c r="N167" s="34"/>
      <c r="O167" s="13">
        <v>1.05</v>
      </c>
      <c r="P167" s="47">
        <v>4</v>
      </c>
    </row>
    <row r="168" spans="1:16" s="13" customFormat="1" ht="19.5">
      <c r="A168" s="14">
        <v>89</v>
      </c>
      <c r="B168" s="210" t="s">
        <v>150</v>
      </c>
      <c r="C168" s="47" t="str">
        <f>'МРСК 2'!C168</f>
        <v>2,5+4</v>
      </c>
      <c r="D168" s="47">
        <v>1936</v>
      </c>
      <c r="E168" s="47">
        <v>800</v>
      </c>
      <c r="F168" s="120">
        <f t="shared" si="12"/>
        <v>2.0947782698892023</v>
      </c>
      <c r="G168" s="46">
        <v>1.3213999028416417</v>
      </c>
      <c r="H168" s="16">
        <v>45</v>
      </c>
      <c r="I168" s="46">
        <f t="shared" si="11"/>
        <v>0.7733783670475607</v>
      </c>
      <c r="J168" s="15">
        <v>0</v>
      </c>
      <c r="K168" s="45">
        <f t="shared" si="14"/>
        <v>2.625</v>
      </c>
      <c r="L168" s="105">
        <f t="shared" si="15"/>
        <v>1.8516216329524393</v>
      </c>
      <c r="M168" s="46">
        <f t="shared" si="13"/>
        <v>1.8516216329524393</v>
      </c>
      <c r="N168" s="34"/>
      <c r="O168" s="13">
        <v>1.05</v>
      </c>
      <c r="P168" s="47">
        <v>2.5</v>
      </c>
    </row>
    <row r="169" spans="1:16" s="13" customFormat="1" ht="19.5">
      <c r="A169" s="14">
        <v>90</v>
      </c>
      <c r="B169" s="210" t="s">
        <v>151</v>
      </c>
      <c r="C169" s="47" t="str">
        <f>'МРСК 2'!C169</f>
        <v>6,3+6,3</v>
      </c>
      <c r="D169" s="47">
        <v>6464</v>
      </c>
      <c r="E169" s="47">
        <v>2896</v>
      </c>
      <c r="F169" s="120">
        <f t="shared" si="12"/>
        <v>7.083086332948371</v>
      </c>
      <c r="G169" s="46">
        <v>0.918</v>
      </c>
      <c r="H169" s="16">
        <v>120</v>
      </c>
      <c r="I169" s="46">
        <f t="shared" si="11"/>
        <v>6.165086332948371</v>
      </c>
      <c r="J169" s="15">
        <v>0</v>
      </c>
      <c r="K169" s="45">
        <f t="shared" si="14"/>
        <v>6.615</v>
      </c>
      <c r="L169" s="105">
        <f t="shared" si="15"/>
        <v>0.4499136670516295</v>
      </c>
      <c r="M169" s="46">
        <f t="shared" si="13"/>
        <v>0.4499136670516295</v>
      </c>
      <c r="N169" s="34"/>
      <c r="O169" s="13">
        <v>1.05</v>
      </c>
      <c r="P169" s="47">
        <v>6.3</v>
      </c>
    </row>
    <row r="170" spans="1:16" s="13" customFormat="1" ht="19.5">
      <c r="A170" s="14">
        <v>91</v>
      </c>
      <c r="B170" s="210" t="s">
        <v>152</v>
      </c>
      <c r="C170" s="47" t="str">
        <f>'МРСК 2'!C170</f>
        <v>2,5+1,6</v>
      </c>
      <c r="D170" s="47">
        <v>1208</v>
      </c>
      <c r="E170" s="47">
        <v>368</v>
      </c>
      <c r="F170" s="120">
        <f t="shared" si="12"/>
        <v>1.26280956600748</v>
      </c>
      <c r="G170" s="46">
        <v>0.522</v>
      </c>
      <c r="H170" s="16">
        <v>45</v>
      </c>
      <c r="I170" s="46">
        <f t="shared" si="11"/>
        <v>0.74080956600748</v>
      </c>
      <c r="J170" s="15">
        <v>0</v>
      </c>
      <c r="K170" s="45">
        <f t="shared" si="14"/>
        <v>1.6800000000000002</v>
      </c>
      <c r="L170" s="105">
        <f t="shared" si="15"/>
        <v>0.9391904339925201</v>
      </c>
      <c r="M170" s="46">
        <f t="shared" si="13"/>
        <v>0.9391904339925201</v>
      </c>
      <c r="N170" s="34"/>
      <c r="O170" s="13">
        <v>1.05</v>
      </c>
      <c r="P170" s="47">
        <v>1.6</v>
      </c>
    </row>
    <row r="171" spans="1:16" s="13" customFormat="1" ht="19.5">
      <c r="A171" s="14">
        <v>92</v>
      </c>
      <c r="B171" s="210" t="s">
        <v>153</v>
      </c>
      <c r="C171" s="47" t="str">
        <f>'МРСК 2'!C171</f>
        <v>4+4</v>
      </c>
      <c r="D171" s="47">
        <v>2544</v>
      </c>
      <c r="E171" s="47">
        <v>1200</v>
      </c>
      <c r="F171" s="120">
        <f t="shared" si="12"/>
        <v>2.8128163822048533</v>
      </c>
      <c r="G171" s="46">
        <v>1.45</v>
      </c>
      <c r="H171" s="16">
        <v>80</v>
      </c>
      <c r="I171" s="46">
        <f t="shared" si="11"/>
        <v>1.3628163822048533</v>
      </c>
      <c r="J171" s="15">
        <v>0</v>
      </c>
      <c r="K171" s="45">
        <f t="shared" si="14"/>
        <v>4.2</v>
      </c>
      <c r="L171" s="105">
        <f t="shared" si="15"/>
        <v>2.837183617795147</v>
      </c>
      <c r="M171" s="46">
        <f t="shared" si="13"/>
        <v>2.837183617795147</v>
      </c>
      <c r="N171" s="34"/>
      <c r="O171" s="13">
        <v>1.05</v>
      </c>
      <c r="P171" s="47">
        <v>4</v>
      </c>
    </row>
    <row r="172" spans="1:16" s="13" customFormat="1" ht="19.5">
      <c r="A172" s="14">
        <v>93</v>
      </c>
      <c r="B172" s="210" t="s">
        <v>154</v>
      </c>
      <c r="C172" s="47" t="str">
        <f>'МРСК 2'!C172</f>
        <v>2,5+2,5</v>
      </c>
      <c r="D172" s="47">
        <v>1820</v>
      </c>
      <c r="E172" s="47">
        <v>844</v>
      </c>
      <c r="F172" s="120">
        <f t="shared" si="12"/>
        <v>2.0061744689831937</v>
      </c>
      <c r="G172" s="46">
        <v>1.0795494616358337</v>
      </c>
      <c r="H172" s="16">
        <v>120</v>
      </c>
      <c r="I172" s="46">
        <f t="shared" si="11"/>
        <v>0.9266250073473601</v>
      </c>
      <c r="J172" s="15">
        <v>0</v>
      </c>
      <c r="K172" s="45">
        <f t="shared" si="14"/>
        <v>2.625</v>
      </c>
      <c r="L172" s="105">
        <f t="shared" si="15"/>
        <v>1.69837499265264</v>
      </c>
      <c r="M172" s="46">
        <f t="shared" si="13"/>
        <v>1.69837499265264</v>
      </c>
      <c r="N172" s="34"/>
      <c r="O172" s="13">
        <v>1.05</v>
      </c>
      <c r="P172" s="47">
        <v>2.5</v>
      </c>
    </row>
    <row r="173" spans="1:16" s="13" customFormat="1" ht="19.5">
      <c r="A173" s="14">
        <v>94</v>
      </c>
      <c r="B173" s="210" t="s">
        <v>155</v>
      </c>
      <c r="C173" s="47" t="str">
        <f>'МРСК 2'!C173</f>
        <v>2,5+2,5</v>
      </c>
      <c r="D173" s="47">
        <v>1056</v>
      </c>
      <c r="E173" s="47">
        <v>324</v>
      </c>
      <c r="F173" s="120">
        <f t="shared" si="12"/>
        <v>1.1045868005729562</v>
      </c>
      <c r="G173" s="46">
        <v>0.4</v>
      </c>
      <c r="H173" s="16">
        <v>120</v>
      </c>
      <c r="I173" s="46">
        <f t="shared" si="11"/>
        <v>0.7045868005729562</v>
      </c>
      <c r="J173" s="15">
        <v>0</v>
      </c>
      <c r="K173" s="45">
        <f t="shared" si="14"/>
        <v>2.625</v>
      </c>
      <c r="L173" s="105">
        <f t="shared" si="15"/>
        <v>1.9204131994270437</v>
      </c>
      <c r="M173" s="46">
        <f t="shared" si="13"/>
        <v>1.9204131994270437</v>
      </c>
      <c r="N173" s="34"/>
      <c r="O173" s="13">
        <v>1.05</v>
      </c>
      <c r="P173" s="47">
        <v>2.5</v>
      </c>
    </row>
    <row r="174" spans="1:16" s="13" customFormat="1" ht="19.5">
      <c r="A174" s="14">
        <v>95</v>
      </c>
      <c r="B174" s="210" t="s">
        <v>156</v>
      </c>
      <c r="C174" s="47" t="str">
        <f>'МРСК 2'!C174</f>
        <v>2,5+4</v>
      </c>
      <c r="D174" s="47">
        <v>1448</v>
      </c>
      <c r="E174" s="47">
        <v>640</v>
      </c>
      <c r="F174" s="120">
        <f t="shared" si="12"/>
        <v>1.5831310748008203</v>
      </c>
      <c r="G174" s="46">
        <v>1.0176542711224374</v>
      </c>
      <c r="H174" s="16">
        <v>45</v>
      </c>
      <c r="I174" s="46">
        <f t="shared" si="11"/>
        <v>0.5654768036783828</v>
      </c>
      <c r="J174" s="15">
        <v>0</v>
      </c>
      <c r="K174" s="45">
        <f t="shared" si="14"/>
        <v>2.625</v>
      </c>
      <c r="L174" s="105">
        <f t="shared" si="15"/>
        <v>2.059523196321617</v>
      </c>
      <c r="M174" s="46">
        <f t="shared" si="13"/>
        <v>2.059523196321617</v>
      </c>
      <c r="N174" s="34"/>
      <c r="O174" s="13">
        <v>1.05</v>
      </c>
      <c r="P174" s="47">
        <v>2.5</v>
      </c>
    </row>
    <row r="175" spans="1:16" s="13" customFormat="1" ht="19.5">
      <c r="A175" s="14">
        <v>96</v>
      </c>
      <c r="B175" s="210" t="s">
        <v>157</v>
      </c>
      <c r="C175" s="47" t="str">
        <f>'МРСК 2'!C175</f>
        <v>2,5+4</v>
      </c>
      <c r="D175" s="47">
        <v>1328</v>
      </c>
      <c r="E175" s="47">
        <v>456</v>
      </c>
      <c r="F175" s="120">
        <f t="shared" si="12"/>
        <v>1.4041082579345512</v>
      </c>
      <c r="G175" s="46">
        <v>0.9553554312401222</v>
      </c>
      <c r="H175" s="16">
        <v>120</v>
      </c>
      <c r="I175" s="46">
        <f t="shared" si="11"/>
        <v>0.44875282669442895</v>
      </c>
      <c r="J175" s="15">
        <v>0</v>
      </c>
      <c r="K175" s="45">
        <f t="shared" si="14"/>
        <v>2.625</v>
      </c>
      <c r="L175" s="105">
        <f t="shared" si="15"/>
        <v>2.176247173305571</v>
      </c>
      <c r="M175" s="46">
        <f t="shared" si="13"/>
        <v>2.176247173305571</v>
      </c>
      <c r="N175" s="34"/>
      <c r="O175" s="13">
        <v>1.05</v>
      </c>
      <c r="P175" s="47">
        <v>2.5</v>
      </c>
    </row>
    <row r="176" spans="1:16" s="13" customFormat="1" ht="19.5">
      <c r="A176" s="14">
        <v>97</v>
      </c>
      <c r="B176" s="210" t="s">
        <v>158</v>
      </c>
      <c r="C176" s="47" t="str">
        <f>'МРСК 2'!C176</f>
        <v>4+4</v>
      </c>
      <c r="D176" s="47">
        <v>2616</v>
      </c>
      <c r="E176" s="47">
        <v>756</v>
      </c>
      <c r="F176" s="120">
        <f t="shared" si="12"/>
        <v>2.723048291896418</v>
      </c>
      <c r="G176" s="46">
        <v>0.616</v>
      </c>
      <c r="H176" s="16">
        <v>80</v>
      </c>
      <c r="I176" s="46">
        <f t="shared" si="11"/>
        <v>2.107048291896418</v>
      </c>
      <c r="J176" s="15">
        <v>0</v>
      </c>
      <c r="K176" s="45">
        <f t="shared" si="14"/>
        <v>4.2</v>
      </c>
      <c r="L176" s="105">
        <f t="shared" si="15"/>
        <v>2.092951708103582</v>
      </c>
      <c r="M176" s="46">
        <f t="shared" si="13"/>
        <v>2.092951708103582</v>
      </c>
      <c r="N176" s="34"/>
      <c r="O176" s="13">
        <v>1.05</v>
      </c>
      <c r="P176" s="47">
        <v>4</v>
      </c>
    </row>
    <row r="177" spans="1:16" s="13" customFormat="1" ht="19.5">
      <c r="A177" s="14">
        <v>98</v>
      </c>
      <c r="B177" s="210" t="s">
        <v>159</v>
      </c>
      <c r="C177" s="47" t="str">
        <f>'МРСК 2'!C177</f>
        <v>4+4</v>
      </c>
      <c r="D177" s="47">
        <v>645</v>
      </c>
      <c r="E177" s="47">
        <v>391</v>
      </c>
      <c r="F177" s="120">
        <f t="shared" si="12"/>
        <v>0.7542585763516382</v>
      </c>
      <c r="G177" s="46">
        <v>0</v>
      </c>
      <c r="H177" s="16"/>
      <c r="I177" s="46">
        <f t="shared" si="11"/>
        <v>0.7542585763516382</v>
      </c>
      <c r="J177" s="15">
        <v>0</v>
      </c>
      <c r="K177" s="45">
        <f t="shared" si="14"/>
        <v>4.2</v>
      </c>
      <c r="L177" s="105">
        <f t="shared" si="15"/>
        <v>3.445741423648362</v>
      </c>
      <c r="M177" s="46">
        <f t="shared" si="13"/>
        <v>3.445741423648362</v>
      </c>
      <c r="N177" s="34"/>
      <c r="O177" s="13">
        <v>1.05</v>
      </c>
      <c r="P177" s="47">
        <v>4</v>
      </c>
    </row>
    <row r="178" spans="1:16" s="13" customFormat="1" ht="19.5">
      <c r="A178" s="14">
        <v>99</v>
      </c>
      <c r="B178" s="210" t="s">
        <v>160</v>
      </c>
      <c r="C178" s="47" t="str">
        <f>'МРСК 2'!C178</f>
        <v>4+6,3</v>
      </c>
      <c r="D178" s="47">
        <v>2136</v>
      </c>
      <c r="E178" s="47">
        <v>420</v>
      </c>
      <c r="F178" s="120">
        <f t="shared" si="12"/>
        <v>2.1769005489456794</v>
      </c>
      <c r="G178" s="46">
        <v>0.305</v>
      </c>
      <c r="H178" s="16">
        <v>45</v>
      </c>
      <c r="I178" s="46">
        <f t="shared" si="11"/>
        <v>1.8719005489456795</v>
      </c>
      <c r="J178" s="15">
        <v>0</v>
      </c>
      <c r="K178" s="45">
        <f t="shared" si="14"/>
        <v>4.2</v>
      </c>
      <c r="L178" s="105">
        <f t="shared" si="15"/>
        <v>2.328099451054321</v>
      </c>
      <c r="M178" s="46">
        <f t="shared" si="13"/>
        <v>2.328099451054321</v>
      </c>
      <c r="N178" s="34"/>
      <c r="O178" s="13">
        <v>1.05</v>
      </c>
      <c r="P178" s="47">
        <v>4</v>
      </c>
    </row>
    <row r="179" spans="1:16" s="13" customFormat="1" ht="19.5">
      <c r="A179" s="14">
        <v>100</v>
      </c>
      <c r="B179" s="210" t="s">
        <v>161</v>
      </c>
      <c r="C179" s="47" t="str">
        <f>'МРСК 2'!C179</f>
        <v>6,3+6,3</v>
      </c>
      <c r="D179" s="47">
        <v>4320</v>
      </c>
      <c r="E179" s="47">
        <v>1469</v>
      </c>
      <c r="F179" s="120">
        <f t="shared" si="12"/>
        <v>4.562933376677771</v>
      </c>
      <c r="G179" s="46">
        <v>1.43</v>
      </c>
      <c r="H179" s="16">
        <v>120</v>
      </c>
      <c r="I179" s="46">
        <f t="shared" si="11"/>
        <v>3.132933376677771</v>
      </c>
      <c r="J179" s="15">
        <v>0</v>
      </c>
      <c r="K179" s="45">
        <f t="shared" si="14"/>
        <v>6.615</v>
      </c>
      <c r="L179" s="105">
        <f t="shared" si="15"/>
        <v>3.482066623322229</v>
      </c>
      <c r="M179" s="46">
        <f t="shared" si="13"/>
        <v>3.482066623322229</v>
      </c>
      <c r="N179" s="34"/>
      <c r="O179" s="13">
        <v>1.05</v>
      </c>
      <c r="P179" s="47">
        <v>6.3</v>
      </c>
    </row>
    <row r="180" spans="1:16" s="13" customFormat="1" ht="19.5">
      <c r="A180" s="14">
        <v>101</v>
      </c>
      <c r="B180" s="210" t="s">
        <v>162</v>
      </c>
      <c r="C180" s="47" t="str">
        <f>'МРСК 2'!C180</f>
        <v>2,5+2,5</v>
      </c>
      <c r="D180" s="47">
        <v>1926</v>
      </c>
      <c r="E180" s="47">
        <v>774</v>
      </c>
      <c r="F180" s="120">
        <f t="shared" si="12"/>
        <v>2.0757051813781264</v>
      </c>
      <c r="G180" s="46">
        <v>0.995132152028061</v>
      </c>
      <c r="H180" s="16">
        <v>120</v>
      </c>
      <c r="I180" s="46">
        <f t="shared" si="11"/>
        <v>1.0805730293500653</v>
      </c>
      <c r="J180" s="15">
        <v>0</v>
      </c>
      <c r="K180" s="45">
        <f t="shared" si="14"/>
        <v>2.625</v>
      </c>
      <c r="L180" s="105">
        <f t="shared" si="15"/>
        <v>1.5444269706499347</v>
      </c>
      <c r="M180" s="46">
        <f t="shared" si="13"/>
        <v>1.5444269706499347</v>
      </c>
      <c r="N180" s="34"/>
      <c r="O180" s="13">
        <v>1.05</v>
      </c>
      <c r="P180" s="47">
        <v>2.5</v>
      </c>
    </row>
    <row r="181" spans="1:16" s="13" customFormat="1" ht="19.5">
      <c r="A181" s="14">
        <v>102</v>
      </c>
      <c r="B181" s="210" t="s">
        <v>163</v>
      </c>
      <c r="C181" s="47" t="str">
        <f>'МРСК 2'!C181</f>
        <v>6,3+6,3</v>
      </c>
      <c r="D181" s="47">
        <v>2432</v>
      </c>
      <c r="E181" s="47">
        <v>1600</v>
      </c>
      <c r="F181" s="120">
        <f t="shared" si="12"/>
        <v>2.911120746379305</v>
      </c>
      <c r="G181" s="46">
        <v>1.4036067580251326</v>
      </c>
      <c r="H181" s="16">
        <v>80</v>
      </c>
      <c r="I181" s="46">
        <f aca="true" t="shared" si="16" ref="I181:I244">F181-G181</f>
        <v>1.5075139883541724</v>
      </c>
      <c r="J181" s="15">
        <v>0</v>
      </c>
      <c r="K181" s="45">
        <f t="shared" si="14"/>
        <v>6.615</v>
      </c>
      <c r="L181" s="105">
        <f t="shared" si="15"/>
        <v>5.107486011645828</v>
      </c>
      <c r="M181" s="46">
        <f t="shared" si="13"/>
        <v>5.107486011645828</v>
      </c>
      <c r="N181" s="34"/>
      <c r="O181" s="13">
        <v>1.05</v>
      </c>
      <c r="P181" s="47">
        <v>6.3</v>
      </c>
    </row>
    <row r="182" spans="1:16" s="13" customFormat="1" ht="19.5">
      <c r="A182" s="14">
        <v>103</v>
      </c>
      <c r="B182" s="210" t="s">
        <v>164</v>
      </c>
      <c r="C182" s="47" t="str">
        <f>'МРСК 2'!C182</f>
        <v>2,5+2,5</v>
      </c>
      <c r="D182" s="47">
        <v>2688</v>
      </c>
      <c r="E182" s="47">
        <v>996</v>
      </c>
      <c r="F182" s="120">
        <f t="shared" si="12"/>
        <v>2.866593797523465</v>
      </c>
      <c r="G182" s="46">
        <v>0.617</v>
      </c>
      <c r="H182" s="16">
        <v>45</v>
      </c>
      <c r="I182" s="46">
        <f t="shared" si="16"/>
        <v>2.249593797523465</v>
      </c>
      <c r="J182" s="15">
        <v>0</v>
      </c>
      <c r="K182" s="45">
        <f t="shared" si="14"/>
        <v>2.625</v>
      </c>
      <c r="L182" s="105">
        <f t="shared" si="15"/>
        <v>0.375406202476535</v>
      </c>
      <c r="M182" s="46">
        <f t="shared" si="13"/>
        <v>0.375406202476535</v>
      </c>
      <c r="N182" s="34"/>
      <c r="O182" s="13">
        <v>1.05</v>
      </c>
      <c r="P182" s="47">
        <v>2.5</v>
      </c>
    </row>
    <row r="183" spans="1:16" s="13" customFormat="1" ht="19.5">
      <c r="A183" s="14">
        <v>104</v>
      </c>
      <c r="B183" s="210" t="s">
        <v>165</v>
      </c>
      <c r="C183" s="47" t="str">
        <f>'МРСК 2'!C183</f>
        <v>2,5+4</v>
      </c>
      <c r="D183" s="47">
        <v>1504</v>
      </c>
      <c r="E183" s="47">
        <v>516</v>
      </c>
      <c r="F183" s="120">
        <f t="shared" si="12"/>
        <v>1.5900540871303717</v>
      </c>
      <c r="G183" s="46">
        <v>0.9084995371305657</v>
      </c>
      <c r="H183" s="16">
        <v>45</v>
      </c>
      <c r="I183" s="46">
        <f t="shared" si="16"/>
        <v>0.6815545499998059</v>
      </c>
      <c r="J183" s="15">
        <v>0</v>
      </c>
      <c r="K183" s="45">
        <f t="shared" si="14"/>
        <v>2.625</v>
      </c>
      <c r="L183" s="105">
        <f t="shared" si="15"/>
        <v>1.943445450000194</v>
      </c>
      <c r="M183" s="46">
        <f t="shared" si="13"/>
        <v>1.943445450000194</v>
      </c>
      <c r="N183" s="34"/>
      <c r="O183" s="13">
        <v>1.05</v>
      </c>
      <c r="P183" s="47">
        <v>2.5</v>
      </c>
    </row>
    <row r="184" spans="1:16" s="13" customFormat="1" ht="19.5">
      <c r="A184" s="14">
        <v>105</v>
      </c>
      <c r="B184" s="210" t="s">
        <v>166</v>
      </c>
      <c r="C184" s="47" t="str">
        <f>'МРСК 2'!C184</f>
        <v>4+4</v>
      </c>
      <c r="D184" s="47">
        <v>3232</v>
      </c>
      <c r="E184" s="47">
        <v>1600</v>
      </c>
      <c r="F184" s="120">
        <f t="shared" si="12"/>
        <v>3.6063588285138795</v>
      </c>
      <c r="G184" s="46">
        <v>0</v>
      </c>
      <c r="H184" s="16"/>
      <c r="I184" s="46">
        <f t="shared" si="16"/>
        <v>3.6063588285138795</v>
      </c>
      <c r="J184" s="15">
        <v>0</v>
      </c>
      <c r="K184" s="45">
        <f t="shared" si="14"/>
        <v>4.2</v>
      </c>
      <c r="L184" s="105">
        <f t="shared" si="15"/>
        <v>0.5936411714861207</v>
      </c>
      <c r="M184" s="46">
        <f t="shared" si="13"/>
        <v>0.5936411714861207</v>
      </c>
      <c r="N184" s="34"/>
      <c r="O184" s="13">
        <v>1.05</v>
      </c>
      <c r="P184" s="47">
        <v>4</v>
      </c>
    </row>
    <row r="185" spans="1:16" s="13" customFormat="1" ht="19.5">
      <c r="A185" s="14">
        <v>106</v>
      </c>
      <c r="B185" s="210" t="s">
        <v>167</v>
      </c>
      <c r="C185" s="47" t="str">
        <f>'МРСК 2'!C185</f>
        <v>4+4</v>
      </c>
      <c r="D185" s="47">
        <v>1200</v>
      </c>
      <c r="E185" s="47">
        <v>528</v>
      </c>
      <c r="F185" s="120">
        <f t="shared" si="12"/>
        <v>1.3110240272397757</v>
      </c>
      <c r="G185" s="46">
        <v>0.7823699242213712</v>
      </c>
      <c r="H185" s="16">
        <v>80</v>
      </c>
      <c r="I185" s="46">
        <f t="shared" si="16"/>
        <v>0.5286541030184045</v>
      </c>
      <c r="J185" s="15">
        <v>0</v>
      </c>
      <c r="K185" s="45">
        <f t="shared" si="14"/>
        <v>4.2</v>
      </c>
      <c r="L185" s="105">
        <f t="shared" si="15"/>
        <v>3.6713458969815957</v>
      </c>
      <c r="M185" s="46">
        <f t="shared" si="13"/>
        <v>3.6713458969815957</v>
      </c>
      <c r="N185" s="34"/>
      <c r="O185" s="13">
        <v>1.05</v>
      </c>
      <c r="P185" s="47">
        <v>4</v>
      </c>
    </row>
    <row r="186" spans="1:16" s="13" customFormat="1" ht="19.5">
      <c r="A186" s="14">
        <v>107</v>
      </c>
      <c r="B186" s="210" t="s">
        <v>168</v>
      </c>
      <c r="C186" s="47" t="str">
        <f>'МРСК 2'!C186</f>
        <v>4+4</v>
      </c>
      <c r="D186" s="47">
        <v>2600</v>
      </c>
      <c r="E186" s="47">
        <v>936</v>
      </c>
      <c r="F186" s="120">
        <f t="shared" si="12"/>
        <v>2.763348693161976</v>
      </c>
      <c r="G186" s="46">
        <v>1.054</v>
      </c>
      <c r="H186" s="16">
        <v>45</v>
      </c>
      <c r="I186" s="46">
        <f t="shared" si="16"/>
        <v>1.709348693161976</v>
      </c>
      <c r="J186" s="15">
        <v>0</v>
      </c>
      <c r="K186" s="45">
        <f t="shared" si="14"/>
        <v>4.2</v>
      </c>
      <c r="L186" s="105">
        <f t="shared" si="15"/>
        <v>2.490651306838024</v>
      </c>
      <c r="M186" s="46">
        <f t="shared" si="13"/>
        <v>2.490651306838024</v>
      </c>
      <c r="N186" s="34"/>
      <c r="O186" s="13">
        <v>1.05</v>
      </c>
      <c r="P186" s="47">
        <v>4</v>
      </c>
    </row>
    <row r="187" spans="1:16" s="13" customFormat="1" ht="19.5">
      <c r="A187" s="14">
        <v>108</v>
      </c>
      <c r="B187" s="210" t="s">
        <v>169</v>
      </c>
      <c r="C187" s="47" t="str">
        <f>'МРСК 2'!C187</f>
        <v>2,5+2,5</v>
      </c>
      <c r="D187" s="47">
        <v>912</v>
      </c>
      <c r="E187" s="47">
        <v>352</v>
      </c>
      <c r="F187" s="120">
        <f t="shared" si="12"/>
        <v>0.9775725037049682</v>
      </c>
      <c r="G187" s="46">
        <v>0.6299911422760434</v>
      </c>
      <c r="H187" s="16">
        <v>80</v>
      </c>
      <c r="I187" s="46">
        <f t="shared" si="16"/>
        <v>0.3475813614289248</v>
      </c>
      <c r="J187" s="15">
        <v>0</v>
      </c>
      <c r="K187" s="45">
        <f t="shared" si="14"/>
        <v>2.625</v>
      </c>
      <c r="L187" s="105">
        <f t="shared" si="15"/>
        <v>2.277418638571075</v>
      </c>
      <c r="M187" s="46">
        <f t="shared" si="13"/>
        <v>2.277418638571075</v>
      </c>
      <c r="N187" s="34"/>
      <c r="O187" s="13">
        <v>1.05</v>
      </c>
      <c r="P187" s="47">
        <v>2.5</v>
      </c>
    </row>
    <row r="188" spans="1:16" s="13" customFormat="1" ht="19.5">
      <c r="A188" s="14">
        <v>109</v>
      </c>
      <c r="B188" s="210" t="s">
        <v>170</v>
      </c>
      <c r="C188" s="47" t="str">
        <f>'МРСК 2'!C188</f>
        <v>2,5+4</v>
      </c>
      <c r="D188" s="47">
        <v>1216</v>
      </c>
      <c r="E188" s="47">
        <v>336</v>
      </c>
      <c r="F188" s="120">
        <f t="shared" si="12"/>
        <v>1.2615672792205732</v>
      </c>
      <c r="G188" s="46">
        <v>0.274</v>
      </c>
      <c r="H188" s="16">
        <v>80</v>
      </c>
      <c r="I188" s="46">
        <f t="shared" si="16"/>
        <v>0.9875672792205732</v>
      </c>
      <c r="J188" s="15">
        <v>0</v>
      </c>
      <c r="K188" s="45">
        <f t="shared" si="14"/>
        <v>2.625</v>
      </c>
      <c r="L188" s="105">
        <f t="shared" si="15"/>
        <v>1.6374327207794268</v>
      </c>
      <c r="M188" s="46">
        <f t="shared" si="13"/>
        <v>1.6374327207794268</v>
      </c>
      <c r="N188" s="34"/>
      <c r="O188" s="13">
        <v>1.05</v>
      </c>
      <c r="P188" s="47">
        <v>2.5</v>
      </c>
    </row>
    <row r="189" spans="1:16" s="13" customFormat="1" ht="19.5">
      <c r="A189" s="14">
        <v>110</v>
      </c>
      <c r="B189" s="210" t="s">
        <v>171</v>
      </c>
      <c r="C189" s="47" t="str">
        <f>'МРСК 2'!C189</f>
        <v>10+10</v>
      </c>
      <c r="D189" s="47">
        <v>7464</v>
      </c>
      <c r="E189" s="47">
        <v>2112</v>
      </c>
      <c r="F189" s="120">
        <f t="shared" si="12"/>
        <v>7.757050986038444</v>
      </c>
      <c r="G189" s="46">
        <v>4.051</v>
      </c>
      <c r="H189" s="16">
        <v>120</v>
      </c>
      <c r="I189" s="46">
        <f t="shared" si="16"/>
        <v>3.706050986038444</v>
      </c>
      <c r="J189" s="15">
        <v>0</v>
      </c>
      <c r="K189" s="45">
        <f t="shared" si="14"/>
        <v>10.5</v>
      </c>
      <c r="L189" s="105">
        <f t="shared" si="15"/>
        <v>6.793949013961556</v>
      </c>
      <c r="M189" s="46">
        <f t="shared" si="13"/>
        <v>6.793949013961556</v>
      </c>
      <c r="N189" s="34"/>
      <c r="O189" s="13">
        <v>1.05</v>
      </c>
      <c r="P189" s="47">
        <v>10</v>
      </c>
    </row>
    <row r="190" spans="1:16" s="13" customFormat="1" ht="19.5">
      <c r="A190" s="14">
        <v>111</v>
      </c>
      <c r="B190" s="210" t="s">
        <v>172</v>
      </c>
      <c r="C190" s="47" t="str">
        <f>'МРСК 2'!C190</f>
        <v>2,5+2,5</v>
      </c>
      <c r="D190" s="47">
        <v>606</v>
      </c>
      <c r="E190" s="47">
        <v>282</v>
      </c>
      <c r="F190" s="120">
        <f t="shared" si="12"/>
        <v>0.6684010771984139</v>
      </c>
      <c r="G190" s="46">
        <v>0.42</v>
      </c>
      <c r="H190" s="16">
        <v>80</v>
      </c>
      <c r="I190" s="46">
        <f t="shared" si="16"/>
        <v>0.24840107719841392</v>
      </c>
      <c r="J190" s="15">
        <v>0</v>
      </c>
      <c r="K190" s="45">
        <f t="shared" si="14"/>
        <v>2.625</v>
      </c>
      <c r="L190" s="105">
        <f t="shared" si="15"/>
        <v>2.3765989228015862</v>
      </c>
      <c r="M190" s="46">
        <f t="shared" si="13"/>
        <v>2.3765989228015862</v>
      </c>
      <c r="N190" s="34"/>
      <c r="O190" s="13">
        <v>1.05</v>
      </c>
      <c r="P190" s="47">
        <v>2.5</v>
      </c>
    </row>
    <row r="191" spans="1:16" s="13" customFormat="1" ht="19.5">
      <c r="A191" s="14">
        <v>112</v>
      </c>
      <c r="B191" s="210" t="s">
        <v>173</v>
      </c>
      <c r="C191" s="47" t="str">
        <f>'МРСК 2'!C191</f>
        <v>10+10+10</v>
      </c>
      <c r="D191" s="47">
        <v>6552</v>
      </c>
      <c r="E191" s="47">
        <v>3360</v>
      </c>
      <c r="F191" s="120">
        <f t="shared" si="12"/>
        <v>7.363307952272538</v>
      </c>
      <c r="G191" s="46">
        <v>1.707</v>
      </c>
      <c r="H191" s="16">
        <v>120</v>
      </c>
      <c r="I191" s="46">
        <f t="shared" si="16"/>
        <v>5.656307952272538</v>
      </c>
      <c r="J191" s="15">
        <v>0</v>
      </c>
      <c r="K191" s="45">
        <f t="shared" si="14"/>
        <v>21</v>
      </c>
      <c r="L191" s="105">
        <f t="shared" si="15"/>
        <v>15.343692047727462</v>
      </c>
      <c r="M191" s="46">
        <f t="shared" si="13"/>
        <v>15.343692047727462</v>
      </c>
      <c r="N191" s="34"/>
      <c r="O191" s="13">
        <v>1.05</v>
      </c>
      <c r="P191" s="47">
        <v>20</v>
      </c>
    </row>
    <row r="192" spans="1:16" s="13" customFormat="1" ht="19.5">
      <c r="A192" s="14">
        <v>113</v>
      </c>
      <c r="B192" s="210" t="s">
        <v>174</v>
      </c>
      <c r="C192" s="47" t="str">
        <f>'МРСК 2'!C192</f>
        <v>6,3+6,3</v>
      </c>
      <c r="D192" s="47">
        <v>5744</v>
      </c>
      <c r="E192" s="47">
        <v>3088</v>
      </c>
      <c r="F192" s="120">
        <f t="shared" si="12"/>
        <v>6.521447692038939</v>
      </c>
      <c r="G192" s="46">
        <v>3.88</v>
      </c>
      <c r="H192" s="16">
        <v>80</v>
      </c>
      <c r="I192" s="46">
        <f t="shared" si="16"/>
        <v>2.6414476920389394</v>
      </c>
      <c r="J192" s="15">
        <v>0</v>
      </c>
      <c r="K192" s="45">
        <f t="shared" si="14"/>
        <v>6.615</v>
      </c>
      <c r="L192" s="105">
        <f t="shared" si="15"/>
        <v>3.973552307961061</v>
      </c>
      <c r="M192" s="46">
        <f t="shared" si="13"/>
        <v>3.973552307961061</v>
      </c>
      <c r="N192" s="34"/>
      <c r="O192" s="13">
        <v>1.05</v>
      </c>
      <c r="P192" s="47">
        <v>6.3</v>
      </c>
    </row>
    <row r="193" spans="1:16" s="13" customFormat="1" ht="19.5">
      <c r="A193" s="14">
        <v>114</v>
      </c>
      <c r="B193" s="210" t="s">
        <v>175</v>
      </c>
      <c r="C193" s="47" t="str">
        <f>'МРСК 2'!C193</f>
        <v>2,5+2,5</v>
      </c>
      <c r="D193" s="47">
        <v>1192</v>
      </c>
      <c r="E193" s="47">
        <v>392</v>
      </c>
      <c r="F193" s="120">
        <f t="shared" si="12"/>
        <v>1.2548019764090268</v>
      </c>
      <c r="G193" s="46">
        <v>0.5860328625822191</v>
      </c>
      <c r="H193" s="16">
        <v>80</v>
      </c>
      <c r="I193" s="46">
        <f t="shared" si="16"/>
        <v>0.6687691138268077</v>
      </c>
      <c r="J193" s="15">
        <v>0</v>
      </c>
      <c r="K193" s="45">
        <f t="shared" si="14"/>
        <v>2.625</v>
      </c>
      <c r="L193" s="105">
        <f t="shared" si="15"/>
        <v>1.9562308861731923</v>
      </c>
      <c r="M193" s="46">
        <f t="shared" si="13"/>
        <v>1.9562308861731923</v>
      </c>
      <c r="N193" s="34"/>
      <c r="O193" s="13">
        <v>1.05</v>
      </c>
      <c r="P193" s="47">
        <v>2.5</v>
      </c>
    </row>
    <row r="194" spans="1:16" s="13" customFormat="1" ht="19.5">
      <c r="A194" s="14">
        <v>115</v>
      </c>
      <c r="B194" s="210" t="s">
        <v>176</v>
      </c>
      <c r="C194" s="47" t="str">
        <f>'МРСК 2'!C194</f>
        <v>4+4</v>
      </c>
      <c r="D194" s="47">
        <v>2872</v>
      </c>
      <c r="E194" s="47">
        <v>904</v>
      </c>
      <c r="F194" s="120">
        <f t="shared" si="12"/>
        <v>3.01091348264941</v>
      </c>
      <c r="G194" s="46">
        <v>2.056</v>
      </c>
      <c r="H194" s="16">
        <v>45</v>
      </c>
      <c r="I194" s="46">
        <f t="shared" si="16"/>
        <v>0.9549134826494101</v>
      </c>
      <c r="J194" s="15">
        <v>0</v>
      </c>
      <c r="K194" s="45">
        <f t="shared" si="14"/>
        <v>4.2</v>
      </c>
      <c r="L194" s="105">
        <f t="shared" si="15"/>
        <v>3.24508651735059</v>
      </c>
      <c r="M194" s="46">
        <f t="shared" si="13"/>
        <v>3.24508651735059</v>
      </c>
      <c r="N194" s="34"/>
      <c r="O194" s="13">
        <v>1.05</v>
      </c>
      <c r="P194" s="47">
        <v>4</v>
      </c>
    </row>
    <row r="195" spans="1:16" s="13" customFormat="1" ht="19.5">
      <c r="A195" s="14">
        <v>116</v>
      </c>
      <c r="B195" s="210" t="s">
        <v>177</v>
      </c>
      <c r="C195" s="47" t="str">
        <f>'МРСК 2'!C195</f>
        <v>4+2,5</v>
      </c>
      <c r="D195" s="47">
        <v>1224</v>
      </c>
      <c r="E195" s="47">
        <v>632</v>
      </c>
      <c r="F195" s="120">
        <f t="shared" si="12"/>
        <v>1.3775340286178053</v>
      </c>
      <c r="G195" s="46">
        <v>0.939351515379801</v>
      </c>
      <c r="H195" s="16">
        <v>120</v>
      </c>
      <c r="I195" s="46">
        <f t="shared" si="16"/>
        <v>0.4381825132380043</v>
      </c>
      <c r="J195" s="15">
        <v>0</v>
      </c>
      <c r="K195" s="45">
        <f t="shared" si="14"/>
        <v>2.625</v>
      </c>
      <c r="L195" s="105">
        <f t="shared" si="15"/>
        <v>2.1868174867619956</v>
      </c>
      <c r="M195" s="46">
        <f t="shared" si="13"/>
        <v>2.1868174867619956</v>
      </c>
      <c r="N195" s="34"/>
      <c r="O195" s="13">
        <v>1.05</v>
      </c>
      <c r="P195" s="47">
        <v>2.5</v>
      </c>
    </row>
    <row r="196" spans="1:16" s="13" customFormat="1" ht="19.5">
      <c r="A196" s="14">
        <v>117</v>
      </c>
      <c r="B196" s="210" t="s">
        <v>178</v>
      </c>
      <c r="C196" s="47" t="str">
        <f>'МРСК 2'!C196</f>
        <v>2,5+4</v>
      </c>
      <c r="D196" s="47">
        <v>1589</v>
      </c>
      <c r="E196" s="47">
        <v>525</v>
      </c>
      <c r="F196" s="120">
        <f t="shared" si="12"/>
        <v>1.6734831938206012</v>
      </c>
      <c r="G196" s="46">
        <v>0.8714116873317177</v>
      </c>
      <c r="H196" s="16">
        <v>45</v>
      </c>
      <c r="I196" s="46">
        <f t="shared" si="16"/>
        <v>0.8020715064888835</v>
      </c>
      <c r="J196" s="15">
        <v>0</v>
      </c>
      <c r="K196" s="45">
        <f t="shared" si="14"/>
        <v>2.625</v>
      </c>
      <c r="L196" s="105">
        <f t="shared" si="15"/>
        <v>1.8229284935111165</v>
      </c>
      <c r="M196" s="46">
        <f t="shared" si="13"/>
        <v>1.8229284935111165</v>
      </c>
      <c r="N196" s="34"/>
      <c r="O196" s="13">
        <v>1.05</v>
      </c>
      <c r="P196" s="47">
        <v>2.5</v>
      </c>
    </row>
    <row r="197" spans="1:16" s="13" customFormat="1" ht="19.5">
      <c r="A197" s="14">
        <v>118</v>
      </c>
      <c r="B197" s="210" t="s">
        <v>179</v>
      </c>
      <c r="C197" s="47" t="str">
        <f>'МРСК 2'!C197</f>
        <v>4+4</v>
      </c>
      <c r="D197" s="47">
        <v>2412</v>
      </c>
      <c r="E197" s="47">
        <v>672</v>
      </c>
      <c r="F197" s="120">
        <f t="shared" si="12"/>
        <v>2.5038626160394664</v>
      </c>
      <c r="G197" s="46">
        <v>0.736</v>
      </c>
      <c r="H197" s="16">
        <v>120</v>
      </c>
      <c r="I197" s="46">
        <f t="shared" si="16"/>
        <v>1.7678626160394664</v>
      </c>
      <c r="J197" s="15">
        <v>0</v>
      </c>
      <c r="K197" s="45">
        <f t="shared" si="14"/>
        <v>4.2</v>
      </c>
      <c r="L197" s="105">
        <f t="shared" si="15"/>
        <v>2.4321373839605336</v>
      </c>
      <c r="M197" s="46">
        <f t="shared" si="13"/>
        <v>2.4321373839605336</v>
      </c>
      <c r="N197" s="34"/>
      <c r="O197" s="13">
        <v>1.05</v>
      </c>
      <c r="P197" s="47">
        <v>4</v>
      </c>
    </row>
    <row r="198" spans="1:16" s="13" customFormat="1" ht="19.5">
      <c r="A198" s="14">
        <v>119</v>
      </c>
      <c r="B198" s="210" t="s">
        <v>180</v>
      </c>
      <c r="C198" s="47" t="str">
        <f>'МРСК 2'!C198</f>
        <v>2,5+2,5</v>
      </c>
      <c r="D198" s="47">
        <v>1040</v>
      </c>
      <c r="E198" s="47">
        <v>360</v>
      </c>
      <c r="F198" s="120">
        <f t="shared" si="12"/>
        <v>1.1005453193758084</v>
      </c>
      <c r="G198" s="46">
        <v>0.712</v>
      </c>
      <c r="H198" s="16">
        <v>120</v>
      </c>
      <c r="I198" s="46">
        <f t="shared" si="16"/>
        <v>0.3885453193758084</v>
      </c>
      <c r="J198" s="15">
        <v>0</v>
      </c>
      <c r="K198" s="45">
        <f t="shared" si="14"/>
        <v>2.625</v>
      </c>
      <c r="L198" s="105">
        <f t="shared" si="15"/>
        <v>2.236454680624192</v>
      </c>
      <c r="M198" s="46">
        <f t="shared" si="13"/>
        <v>2.236454680624192</v>
      </c>
      <c r="N198" s="34"/>
      <c r="O198" s="13">
        <v>1.05</v>
      </c>
      <c r="P198" s="47">
        <v>2.5</v>
      </c>
    </row>
    <row r="199" spans="1:16" s="13" customFormat="1" ht="19.5">
      <c r="A199" s="14">
        <v>120</v>
      </c>
      <c r="B199" s="210" t="s">
        <v>181</v>
      </c>
      <c r="C199" s="47" t="str">
        <f>'МРСК 2'!C199</f>
        <v>6,3+6,3</v>
      </c>
      <c r="D199" s="47">
        <v>3132</v>
      </c>
      <c r="E199" s="47">
        <v>1536</v>
      </c>
      <c r="F199" s="120">
        <f t="shared" si="12"/>
        <v>3.4883692465104663</v>
      </c>
      <c r="G199" s="46">
        <v>0.7035</v>
      </c>
      <c r="H199" s="16">
        <v>120</v>
      </c>
      <c r="I199" s="46">
        <f t="shared" si="16"/>
        <v>2.7848692465104663</v>
      </c>
      <c r="J199" s="15">
        <v>0</v>
      </c>
      <c r="K199" s="45">
        <f t="shared" si="14"/>
        <v>6.615</v>
      </c>
      <c r="L199" s="105">
        <f t="shared" si="15"/>
        <v>3.830130753489534</v>
      </c>
      <c r="M199" s="46">
        <f t="shared" si="13"/>
        <v>3.830130753489534</v>
      </c>
      <c r="N199" s="34"/>
      <c r="O199" s="13">
        <v>1.05</v>
      </c>
      <c r="P199" s="47">
        <v>6.3</v>
      </c>
    </row>
    <row r="200" spans="1:16" s="13" customFormat="1" ht="19.5">
      <c r="A200" s="14">
        <v>121</v>
      </c>
      <c r="B200" s="210" t="s">
        <v>182</v>
      </c>
      <c r="C200" s="47" t="str">
        <f>'МРСК 2'!C200</f>
        <v>2,5+2,5</v>
      </c>
      <c r="D200" s="47">
        <v>2672</v>
      </c>
      <c r="E200" s="47">
        <v>768</v>
      </c>
      <c r="F200" s="120">
        <f t="shared" si="12"/>
        <v>2.780181289052928</v>
      </c>
      <c r="G200" s="46">
        <v>1.6480094565606436</v>
      </c>
      <c r="H200" s="16">
        <v>20</v>
      </c>
      <c r="I200" s="46">
        <f t="shared" si="16"/>
        <v>1.1321718324922845</v>
      </c>
      <c r="J200" s="15">
        <v>0</v>
      </c>
      <c r="K200" s="45">
        <f t="shared" si="14"/>
        <v>2.625</v>
      </c>
      <c r="L200" s="105">
        <f t="shared" si="15"/>
        <v>1.4928281675077155</v>
      </c>
      <c r="M200" s="46">
        <f t="shared" si="13"/>
        <v>1.4928281675077155</v>
      </c>
      <c r="N200" s="34"/>
      <c r="O200" s="13">
        <v>1.05</v>
      </c>
      <c r="P200" s="47">
        <v>2.5</v>
      </c>
    </row>
    <row r="201" spans="1:16" s="13" customFormat="1" ht="19.5">
      <c r="A201" s="14">
        <v>122</v>
      </c>
      <c r="B201" s="210" t="s">
        <v>183</v>
      </c>
      <c r="C201" s="47" t="str">
        <f>'МРСК 2'!C201</f>
        <v>2,5+4</v>
      </c>
      <c r="D201" s="47">
        <v>858</v>
      </c>
      <c r="E201" s="47">
        <v>294</v>
      </c>
      <c r="F201" s="120">
        <f t="shared" si="12"/>
        <v>0.9069729874698584</v>
      </c>
      <c r="G201" s="46">
        <v>0.6285950453618376</v>
      </c>
      <c r="H201" s="16">
        <v>45</v>
      </c>
      <c r="I201" s="46">
        <f t="shared" si="16"/>
        <v>0.2783779421080208</v>
      </c>
      <c r="J201" s="15">
        <v>0</v>
      </c>
      <c r="K201" s="45">
        <f t="shared" si="14"/>
        <v>2.625</v>
      </c>
      <c r="L201" s="105">
        <f t="shared" si="15"/>
        <v>2.346622057891979</v>
      </c>
      <c r="M201" s="46">
        <f t="shared" si="13"/>
        <v>2.346622057891979</v>
      </c>
      <c r="N201" s="34"/>
      <c r="O201" s="13">
        <v>1.05</v>
      </c>
      <c r="P201" s="47">
        <v>2.5</v>
      </c>
    </row>
    <row r="202" spans="1:16" s="13" customFormat="1" ht="19.5">
      <c r="A202" s="14">
        <v>123</v>
      </c>
      <c r="B202" s="210" t="s">
        <v>184</v>
      </c>
      <c r="C202" s="47" t="str">
        <f>'МРСК 2'!C202</f>
        <v>4+2,5</v>
      </c>
      <c r="D202" s="47">
        <v>1128</v>
      </c>
      <c r="E202" s="47">
        <v>424</v>
      </c>
      <c r="F202" s="120">
        <f t="shared" si="12"/>
        <v>1.2050560152955547</v>
      </c>
      <c r="G202" s="46">
        <v>1.1395214781841227</v>
      </c>
      <c r="H202" s="16">
        <v>80</v>
      </c>
      <c r="I202" s="46">
        <f t="shared" si="16"/>
        <v>0.06553453711143198</v>
      </c>
      <c r="J202" s="15">
        <v>0</v>
      </c>
      <c r="K202" s="45">
        <f t="shared" si="14"/>
        <v>2.625</v>
      </c>
      <c r="L202" s="105">
        <f t="shared" si="15"/>
        <v>2.559465462888568</v>
      </c>
      <c r="M202" s="46">
        <f t="shared" si="13"/>
        <v>2.559465462888568</v>
      </c>
      <c r="N202" s="34"/>
      <c r="O202" s="13">
        <v>1.05</v>
      </c>
      <c r="P202" s="47">
        <v>2.5</v>
      </c>
    </row>
    <row r="203" spans="1:16" s="13" customFormat="1" ht="19.5">
      <c r="A203" s="14">
        <v>124</v>
      </c>
      <c r="B203" s="210" t="s">
        <v>185</v>
      </c>
      <c r="C203" s="47" t="str">
        <f>'МРСК 2'!C203</f>
        <v>4+2,5</v>
      </c>
      <c r="D203" s="47">
        <v>1096</v>
      </c>
      <c r="E203" s="47">
        <v>508</v>
      </c>
      <c r="F203" s="120">
        <f t="shared" si="12"/>
        <v>1.2080066224984034</v>
      </c>
      <c r="G203" s="46">
        <v>0.6781782133174243</v>
      </c>
      <c r="H203" s="16">
        <v>120</v>
      </c>
      <c r="I203" s="46">
        <f t="shared" si="16"/>
        <v>0.5298284091809791</v>
      </c>
      <c r="J203" s="15">
        <v>0</v>
      </c>
      <c r="K203" s="45">
        <f t="shared" si="14"/>
        <v>2.625</v>
      </c>
      <c r="L203" s="105">
        <f t="shared" si="15"/>
        <v>2.095171590819021</v>
      </c>
      <c r="M203" s="46">
        <f t="shared" si="13"/>
        <v>2.095171590819021</v>
      </c>
      <c r="N203" s="34"/>
      <c r="O203" s="13">
        <v>1.05</v>
      </c>
      <c r="P203" s="47">
        <v>2.5</v>
      </c>
    </row>
    <row r="204" spans="1:16" s="13" customFormat="1" ht="19.5">
      <c r="A204" s="14">
        <v>125</v>
      </c>
      <c r="B204" s="210" t="s">
        <v>186</v>
      </c>
      <c r="C204" s="47" t="str">
        <f>'МРСК 2'!C204</f>
        <v>4+4</v>
      </c>
      <c r="D204" s="47">
        <v>2800</v>
      </c>
      <c r="E204" s="47">
        <v>1168</v>
      </c>
      <c r="F204" s="120">
        <f aca="true" t="shared" si="17" ref="F204:F255">SQRT(D204*D204+E204*E204)/1000</f>
        <v>3.0338464034950747</v>
      </c>
      <c r="G204" s="46">
        <v>1.7970144010193758</v>
      </c>
      <c r="H204" s="16">
        <v>80</v>
      </c>
      <c r="I204" s="46">
        <f t="shared" si="16"/>
        <v>1.236832002475699</v>
      </c>
      <c r="J204" s="15">
        <v>0</v>
      </c>
      <c r="K204" s="45">
        <f t="shared" si="14"/>
        <v>4.2</v>
      </c>
      <c r="L204" s="105">
        <f t="shared" si="15"/>
        <v>2.9631679975243013</v>
      </c>
      <c r="M204" s="46">
        <f t="shared" si="13"/>
        <v>2.9631679975243013</v>
      </c>
      <c r="N204" s="34"/>
      <c r="O204" s="13">
        <v>1.05</v>
      </c>
      <c r="P204" s="47">
        <v>4</v>
      </c>
    </row>
    <row r="205" spans="1:16" s="13" customFormat="1" ht="19.5">
      <c r="A205" s="14">
        <v>126</v>
      </c>
      <c r="B205" s="210" t="s">
        <v>187</v>
      </c>
      <c r="C205" s="47" t="str">
        <f>'МРСК 2'!C205</f>
        <v>4+5,6</v>
      </c>
      <c r="D205" s="47">
        <v>4392</v>
      </c>
      <c r="E205" s="47">
        <v>1469</v>
      </c>
      <c r="F205" s="120">
        <f t="shared" si="17"/>
        <v>4.631158062515249</v>
      </c>
      <c r="G205" s="46">
        <v>0.581</v>
      </c>
      <c r="H205" s="16">
        <v>120</v>
      </c>
      <c r="I205" s="46">
        <f t="shared" si="16"/>
        <v>4.05015806251525</v>
      </c>
      <c r="J205" s="15">
        <v>0</v>
      </c>
      <c r="K205" s="45">
        <f t="shared" si="14"/>
        <v>4.2</v>
      </c>
      <c r="L205" s="105">
        <f t="shared" si="15"/>
        <v>0.1498419374847506</v>
      </c>
      <c r="M205" s="46">
        <f t="shared" si="13"/>
        <v>0.1498419374847506</v>
      </c>
      <c r="N205" s="34"/>
      <c r="O205" s="13">
        <v>1.05</v>
      </c>
      <c r="P205" s="47">
        <v>4</v>
      </c>
    </row>
    <row r="206" spans="1:16" s="13" customFormat="1" ht="19.5">
      <c r="A206" s="14">
        <v>127</v>
      </c>
      <c r="B206" s="210" t="s">
        <v>188</v>
      </c>
      <c r="C206" s="47" t="str">
        <f>'МРСК 2'!C206</f>
        <v>4+4</v>
      </c>
      <c r="D206" s="47">
        <v>2578</v>
      </c>
      <c r="E206" s="47">
        <v>1325</v>
      </c>
      <c r="F206" s="120">
        <f t="shared" si="17"/>
        <v>2.8985701647536497</v>
      </c>
      <c r="G206" s="46">
        <v>1.321</v>
      </c>
      <c r="H206" s="16">
        <v>80</v>
      </c>
      <c r="I206" s="46">
        <f t="shared" si="16"/>
        <v>1.5775701647536498</v>
      </c>
      <c r="J206" s="15">
        <v>0</v>
      </c>
      <c r="K206" s="45">
        <f t="shared" si="14"/>
        <v>4.2</v>
      </c>
      <c r="L206" s="105">
        <f t="shared" si="15"/>
        <v>2.6224298352463506</v>
      </c>
      <c r="M206" s="46">
        <f t="shared" si="13"/>
        <v>2.6224298352463506</v>
      </c>
      <c r="N206" s="34"/>
      <c r="O206" s="13">
        <v>1.05</v>
      </c>
      <c r="P206" s="47">
        <v>4</v>
      </c>
    </row>
    <row r="207" spans="1:16" s="13" customFormat="1" ht="19.5">
      <c r="A207" s="14">
        <v>128</v>
      </c>
      <c r="B207" s="210" t="s">
        <v>189</v>
      </c>
      <c r="C207" s="47" t="str">
        <f>'МРСК 2'!C207</f>
        <v>4+4</v>
      </c>
      <c r="D207" s="47">
        <v>3360</v>
      </c>
      <c r="E207" s="47">
        <v>2364</v>
      </c>
      <c r="F207" s="120">
        <f t="shared" si="17"/>
        <v>4.108295997125816</v>
      </c>
      <c r="G207" s="46">
        <v>1.541</v>
      </c>
      <c r="H207" s="16">
        <v>120</v>
      </c>
      <c r="I207" s="46">
        <f t="shared" si="16"/>
        <v>2.567295997125816</v>
      </c>
      <c r="J207" s="15">
        <v>0</v>
      </c>
      <c r="K207" s="45">
        <f t="shared" si="14"/>
        <v>4.2</v>
      </c>
      <c r="L207" s="105">
        <f t="shared" si="15"/>
        <v>1.6327040028741844</v>
      </c>
      <c r="M207" s="46">
        <f t="shared" si="13"/>
        <v>1.6327040028741844</v>
      </c>
      <c r="N207" s="34"/>
      <c r="O207" s="13">
        <v>1.05</v>
      </c>
      <c r="P207" s="47">
        <v>4</v>
      </c>
    </row>
    <row r="208" spans="1:16" s="13" customFormat="1" ht="19.5">
      <c r="A208" s="14">
        <v>129</v>
      </c>
      <c r="B208" s="210" t="s">
        <v>190</v>
      </c>
      <c r="C208" s="47" t="str">
        <f>'МРСК 2'!C208</f>
        <v>2,5+2,5</v>
      </c>
      <c r="D208" s="47">
        <v>828</v>
      </c>
      <c r="E208" s="47">
        <v>336</v>
      </c>
      <c r="F208" s="120">
        <f t="shared" si="17"/>
        <v>0.8935770811743103</v>
      </c>
      <c r="G208" s="46">
        <v>0.6667165227139484</v>
      </c>
      <c r="H208" s="16">
        <v>80</v>
      </c>
      <c r="I208" s="46">
        <f t="shared" si="16"/>
        <v>0.2268605584603619</v>
      </c>
      <c r="J208" s="15">
        <v>0</v>
      </c>
      <c r="K208" s="45">
        <f t="shared" si="14"/>
        <v>2.625</v>
      </c>
      <c r="L208" s="105">
        <f t="shared" si="15"/>
        <v>2.398139441539638</v>
      </c>
      <c r="M208" s="46">
        <f t="shared" si="13"/>
        <v>2.398139441539638</v>
      </c>
      <c r="N208" s="34"/>
      <c r="O208" s="13">
        <v>1.05</v>
      </c>
      <c r="P208" s="47">
        <v>2.5</v>
      </c>
    </row>
    <row r="209" spans="1:16" s="13" customFormat="1" ht="19.5">
      <c r="A209" s="14">
        <v>130</v>
      </c>
      <c r="B209" s="210" t="s">
        <v>191</v>
      </c>
      <c r="C209" s="47" t="str">
        <f>'МРСК 2'!C209</f>
        <v>6,3+6,3</v>
      </c>
      <c r="D209" s="47">
        <v>6264</v>
      </c>
      <c r="E209" s="47">
        <v>2844</v>
      </c>
      <c r="F209" s="120">
        <f t="shared" si="17"/>
        <v>6.8793918335852915</v>
      </c>
      <c r="G209" s="46">
        <v>1.81</v>
      </c>
      <c r="H209" s="16">
        <v>45</v>
      </c>
      <c r="I209" s="46">
        <f t="shared" si="16"/>
        <v>5.069391833585291</v>
      </c>
      <c r="J209" s="15">
        <v>0</v>
      </c>
      <c r="K209" s="45">
        <f t="shared" si="14"/>
        <v>6.615</v>
      </c>
      <c r="L209" s="105">
        <f t="shared" si="15"/>
        <v>1.5456081664147092</v>
      </c>
      <c r="M209" s="46">
        <f t="shared" si="13"/>
        <v>1.5456081664147092</v>
      </c>
      <c r="N209" s="34"/>
      <c r="O209" s="13">
        <v>1.05</v>
      </c>
      <c r="P209" s="47">
        <v>6.3</v>
      </c>
    </row>
    <row r="210" spans="1:16" s="13" customFormat="1" ht="19.5">
      <c r="A210" s="14">
        <v>131</v>
      </c>
      <c r="B210" s="210" t="s">
        <v>192</v>
      </c>
      <c r="C210" s="47" t="str">
        <f>'МРСК 2'!C210</f>
        <v>2,5+2,5</v>
      </c>
      <c r="D210" s="47">
        <v>568</v>
      </c>
      <c r="E210" s="47">
        <v>368</v>
      </c>
      <c r="F210" s="120">
        <f t="shared" si="17"/>
        <v>0.6767924349458998</v>
      </c>
      <c r="G210" s="46">
        <v>0.6071607971904307</v>
      </c>
      <c r="H210" s="16">
        <v>80</v>
      </c>
      <c r="I210" s="46">
        <f t="shared" si="16"/>
        <v>0.0696316377554691</v>
      </c>
      <c r="J210" s="15">
        <v>0</v>
      </c>
      <c r="K210" s="45">
        <f t="shared" si="14"/>
        <v>2.625</v>
      </c>
      <c r="L210" s="105">
        <f t="shared" si="15"/>
        <v>2.555368362244531</v>
      </c>
      <c r="M210" s="46">
        <f t="shared" si="13"/>
        <v>2.555368362244531</v>
      </c>
      <c r="N210" s="34"/>
      <c r="O210" s="13">
        <v>1.05</v>
      </c>
      <c r="P210" s="47">
        <v>2.5</v>
      </c>
    </row>
    <row r="211" spans="1:16" s="13" customFormat="1" ht="19.5">
      <c r="A211" s="14">
        <v>132</v>
      </c>
      <c r="B211" s="210" t="s">
        <v>193</v>
      </c>
      <c r="C211" s="47" t="str">
        <f>'МРСК 2'!C211</f>
        <v>10+10</v>
      </c>
      <c r="D211" s="47">
        <v>5808</v>
      </c>
      <c r="E211" s="47">
        <v>3776</v>
      </c>
      <c r="F211" s="120">
        <f t="shared" si="17"/>
        <v>6.927556567795026</v>
      </c>
      <c r="G211" s="46">
        <v>1.357</v>
      </c>
      <c r="H211" s="16">
        <v>120</v>
      </c>
      <c r="I211" s="46">
        <f t="shared" si="16"/>
        <v>5.570556567795026</v>
      </c>
      <c r="J211" s="15">
        <v>0</v>
      </c>
      <c r="K211" s="45">
        <f t="shared" si="14"/>
        <v>10.5</v>
      </c>
      <c r="L211" s="105">
        <f t="shared" si="15"/>
        <v>4.929443432204974</v>
      </c>
      <c r="M211" s="46">
        <f t="shared" si="13"/>
        <v>4.929443432204974</v>
      </c>
      <c r="N211" s="34"/>
      <c r="O211" s="13">
        <v>1.05</v>
      </c>
      <c r="P211" s="47">
        <v>10</v>
      </c>
    </row>
    <row r="212" spans="1:16" s="13" customFormat="1" ht="19.5">
      <c r="A212" s="14">
        <v>133</v>
      </c>
      <c r="B212" s="210" t="s">
        <v>194</v>
      </c>
      <c r="C212" s="47" t="str">
        <f>'МРСК 2'!C212</f>
        <v>2,5+2,5</v>
      </c>
      <c r="D212" s="47">
        <v>1488</v>
      </c>
      <c r="E212" s="47">
        <v>438</v>
      </c>
      <c r="F212" s="120">
        <f t="shared" si="17"/>
        <v>1.5511247532033006</v>
      </c>
      <c r="G212" s="46">
        <v>0.6556492964992795</v>
      </c>
      <c r="H212" s="16">
        <v>80</v>
      </c>
      <c r="I212" s="46">
        <f t="shared" si="16"/>
        <v>0.8954754567040211</v>
      </c>
      <c r="J212" s="15">
        <v>0</v>
      </c>
      <c r="K212" s="45">
        <f t="shared" si="14"/>
        <v>2.625</v>
      </c>
      <c r="L212" s="105">
        <f t="shared" si="15"/>
        <v>1.729524543295979</v>
      </c>
      <c r="M212" s="46">
        <f t="shared" si="13"/>
        <v>1.729524543295979</v>
      </c>
      <c r="N212" s="34"/>
      <c r="O212" s="13">
        <v>1.05</v>
      </c>
      <c r="P212" s="47">
        <v>2.5</v>
      </c>
    </row>
    <row r="213" spans="1:16" s="13" customFormat="1" ht="19.5">
      <c r="A213" s="14">
        <v>134</v>
      </c>
      <c r="B213" s="210" t="s">
        <v>195</v>
      </c>
      <c r="C213" s="47" t="str">
        <f>'МРСК 2'!C213</f>
        <v>2,5+2,5</v>
      </c>
      <c r="D213" s="47">
        <v>1362</v>
      </c>
      <c r="E213" s="47">
        <v>510</v>
      </c>
      <c r="F213" s="120">
        <f t="shared" si="17"/>
        <v>1.4543534646020546</v>
      </c>
      <c r="G213" s="46">
        <v>0.643</v>
      </c>
      <c r="H213" s="16">
        <v>80</v>
      </c>
      <c r="I213" s="46">
        <f t="shared" si="16"/>
        <v>0.8113534646020546</v>
      </c>
      <c r="J213" s="15">
        <v>0</v>
      </c>
      <c r="K213" s="45">
        <f t="shared" si="14"/>
        <v>2.625</v>
      </c>
      <c r="L213" s="105">
        <f t="shared" si="15"/>
        <v>1.8136465353979454</v>
      </c>
      <c r="M213" s="46">
        <f t="shared" si="13"/>
        <v>1.8136465353979454</v>
      </c>
      <c r="N213" s="34"/>
      <c r="O213" s="13">
        <v>1.05</v>
      </c>
      <c r="P213" s="47">
        <v>2.5</v>
      </c>
    </row>
    <row r="214" spans="1:16" s="13" customFormat="1" ht="19.5">
      <c r="A214" s="14">
        <v>135</v>
      </c>
      <c r="B214" s="210" t="s">
        <v>196</v>
      </c>
      <c r="C214" s="47" t="str">
        <f>'МРСК 2'!C214</f>
        <v>2,5+2,5</v>
      </c>
      <c r="D214" s="47">
        <v>1110</v>
      </c>
      <c r="E214" s="47">
        <v>522</v>
      </c>
      <c r="F214" s="120">
        <f t="shared" si="17"/>
        <v>1.226614853978216</v>
      </c>
      <c r="G214" s="46">
        <v>0.5931509082855728</v>
      </c>
      <c r="H214" s="16">
        <v>120</v>
      </c>
      <c r="I214" s="46">
        <f t="shared" si="16"/>
        <v>0.6334639456926432</v>
      </c>
      <c r="J214" s="15">
        <v>0</v>
      </c>
      <c r="K214" s="45">
        <f t="shared" si="14"/>
        <v>2.625</v>
      </c>
      <c r="L214" s="105">
        <f t="shared" si="15"/>
        <v>1.9915360543073568</v>
      </c>
      <c r="M214" s="46">
        <f t="shared" si="13"/>
        <v>1.9915360543073568</v>
      </c>
      <c r="N214" s="34"/>
      <c r="O214" s="13">
        <v>1.05</v>
      </c>
      <c r="P214" s="47">
        <v>2.5</v>
      </c>
    </row>
    <row r="215" spans="1:16" s="13" customFormat="1" ht="19.5">
      <c r="A215" s="14">
        <v>136</v>
      </c>
      <c r="B215" s="210" t="s">
        <v>197</v>
      </c>
      <c r="C215" s="24" t="str">
        <f>'МРСК 2'!C215</f>
        <v>6,3+6,3</v>
      </c>
      <c r="D215" s="47">
        <v>5888</v>
      </c>
      <c r="E215" s="47">
        <v>1920</v>
      </c>
      <c r="F215" s="120">
        <f t="shared" si="17"/>
        <v>6.193136846542307</v>
      </c>
      <c r="G215" s="46">
        <v>2.78</v>
      </c>
      <c r="H215" s="16">
        <v>120</v>
      </c>
      <c r="I215" s="46">
        <f t="shared" si="16"/>
        <v>3.4131368465423075</v>
      </c>
      <c r="J215" s="15">
        <v>0</v>
      </c>
      <c r="K215" s="45">
        <f t="shared" si="14"/>
        <v>6.615</v>
      </c>
      <c r="L215" s="105">
        <f t="shared" si="15"/>
        <v>3.2018631534576927</v>
      </c>
      <c r="M215" s="46">
        <f t="shared" si="13"/>
        <v>3.2018631534576927</v>
      </c>
      <c r="N215" s="34"/>
      <c r="O215" s="13">
        <v>1.05</v>
      </c>
      <c r="P215" s="23" t="s">
        <v>26</v>
      </c>
    </row>
    <row r="216" spans="1:16" s="13" customFormat="1" ht="19.5">
      <c r="A216" s="14">
        <v>137</v>
      </c>
      <c r="B216" s="210" t="s">
        <v>198</v>
      </c>
      <c r="C216" s="47" t="str">
        <f>'МРСК 2'!C216</f>
        <v>6,3+6,3</v>
      </c>
      <c r="D216" s="47">
        <v>3360</v>
      </c>
      <c r="E216" s="47">
        <v>912</v>
      </c>
      <c r="F216" s="120">
        <f t="shared" si="17"/>
        <v>3.4815720587114094</v>
      </c>
      <c r="G216" s="46">
        <v>0.842</v>
      </c>
      <c r="H216" s="16">
        <v>45</v>
      </c>
      <c r="I216" s="46">
        <f t="shared" si="16"/>
        <v>2.6395720587114093</v>
      </c>
      <c r="J216" s="15">
        <v>0</v>
      </c>
      <c r="K216" s="45">
        <f t="shared" si="14"/>
        <v>6.615</v>
      </c>
      <c r="L216" s="105">
        <f t="shared" si="15"/>
        <v>3.975427941288591</v>
      </c>
      <c r="M216" s="46">
        <f t="shared" si="13"/>
        <v>3.975427941288591</v>
      </c>
      <c r="N216" s="34"/>
      <c r="O216" s="13">
        <v>1.05</v>
      </c>
      <c r="P216" s="23">
        <v>6.3</v>
      </c>
    </row>
    <row r="217" spans="1:16" s="13" customFormat="1" ht="19.5">
      <c r="A217" s="14">
        <v>138</v>
      </c>
      <c r="B217" s="210" t="s">
        <v>199</v>
      </c>
      <c r="C217" s="47" t="str">
        <f>'МРСК 2'!C217</f>
        <v>4+2,5</v>
      </c>
      <c r="D217" s="47">
        <v>1608</v>
      </c>
      <c r="E217" s="47">
        <v>764</v>
      </c>
      <c r="F217" s="120">
        <f t="shared" si="17"/>
        <v>1.7802696424980122</v>
      </c>
      <c r="G217" s="46">
        <v>0.57</v>
      </c>
      <c r="H217" s="16">
        <v>80</v>
      </c>
      <c r="I217" s="46">
        <f t="shared" si="16"/>
        <v>1.2102696424980124</v>
      </c>
      <c r="J217" s="15">
        <v>0</v>
      </c>
      <c r="K217" s="45">
        <f t="shared" si="14"/>
        <v>2.625</v>
      </c>
      <c r="L217" s="105">
        <f t="shared" si="15"/>
        <v>1.4147303575019876</v>
      </c>
      <c r="M217" s="46">
        <f t="shared" si="13"/>
        <v>1.4147303575019876</v>
      </c>
      <c r="N217" s="34"/>
      <c r="O217" s="13">
        <v>1.05</v>
      </c>
      <c r="P217" s="23">
        <v>2.5</v>
      </c>
    </row>
    <row r="218" spans="1:16" s="13" customFormat="1" ht="19.5">
      <c r="A218" s="14">
        <v>139</v>
      </c>
      <c r="B218" s="210" t="s">
        <v>200</v>
      </c>
      <c r="C218" s="47" t="str">
        <f>'МРСК 2'!C218</f>
        <v>2,5+4</v>
      </c>
      <c r="D218" s="47">
        <v>294</v>
      </c>
      <c r="E218" s="47">
        <v>142</v>
      </c>
      <c r="F218" s="120">
        <f t="shared" si="17"/>
        <v>0.32649655434629016</v>
      </c>
      <c r="G218" s="46">
        <v>0.19</v>
      </c>
      <c r="H218" s="16">
        <v>80</v>
      </c>
      <c r="I218" s="46">
        <f t="shared" si="16"/>
        <v>0.13649655434629016</v>
      </c>
      <c r="J218" s="15">
        <v>0</v>
      </c>
      <c r="K218" s="45">
        <f t="shared" si="14"/>
        <v>2.625</v>
      </c>
      <c r="L218" s="105">
        <f t="shared" si="15"/>
        <v>2.48850344565371</v>
      </c>
      <c r="M218" s="46">
        <f t="shared" si="13"/>
        <v>2.48850344565371</v>
      </c>
      <c r="N218" s="34"/>
      <c r="O218" s="13">
        <v>1.05</v>
      </c>
      <c r="P218" s="23">
        <v>2.5</v>
      </c>
    </row>
    <row r="219" spans="1:16" s="13" customFormat="1" ht="19.5">
      <c r="A219" s="14">
        <v>140</v>
      </c>
      <c r="B219" s="210" t="s">
        <v>201</v>
      </c>
      <c r="C219" s="47" t="str">
        <f>'МРСК 2'!C219</f>
        <v>4+2,5</v>
      </c>
      <c r="D219" s="47">
        <v>1474</v>
      </c>
      <c r="E219" s="47">
        <v>706</v>
      </c>
      <c r="F219" s="120">
        <f t="shared" si="17"/>
        <v>1.6343536948898179</v>
      </c>
      <c r="G219" s="46">
        <v>0.6514729199979921</v>
      </c>
      <c r="H219" s="16">
        <v>80</v>
      </c>
      <c r="I219" s="46">
        <f t="shared" si="16"/>
        <v>0.9828807748918258</v>
      </c>
      <c r="J219" s="15">
        <v>0</v>
      </c>
      <c r="K219" s="45">
        <f t="shared" si="14"/>
        <v>2.625</v>
      </c>
      <c r="L219" s="105">
        <f t="shared" si="15"/>
        <v>1.6421192251081742</v>
      </c>
      <c r="M219" s="46">
        <f t="shared" si="13"/>
        <v>1.6421192251081742</v>
      </c>
      <c r="N219" s="34"/>
      <c r="O219" s="13">
        <v>1.05</v>
      </c>
      <c r="P219" s="23">
        <v>2.5</v>
      </c>
    </row>
    <row r="220" spans="1:16" s="13" customFormat="1" ht="19.5">
      <c r="A220" s="14">
        <v>141</v>
      </c>
      <c r="B220" s="210" t="s">
        <v>202</v>
      </c>
      <c r="C220" s="47" t="str">
        <f>'МРСК 2'!C220</f>
        <v>4+4</v>
      </c>
      <c r="D220" s="47">
        <v>1328</v>
      </c>
      <c r="E220" s="47">
        <v>392</v>
      </c>
      <c r="F220" s="120">
        <f t="shared" si="17"/>
        <v>1.3846472474966323</v>
      </c>
      <c r="G220" s="46">
        <v>0.451</v>
      </c>
      <c r="H220" s="16">
        <v>120</v>
      </c>
      <c r="I220" s="46">
        <f t="shared" si="16"/>
        <v>0.9336472474966322</v>
      </c>
      <c r="J220" s="15">
        <v>0</v>
      </c>
      <c r="K220" s="45">
        <f t="shared" si="14"/>
        <v>4.2</v>
      </c>
      <c r="L220" s="105">
        <f t="shared" si="15"/>
        <v>3.266352752503368</v>
      </c>
      <c r="M220" s="46">
        <f t="shared" si="13"/>
        <v>3.266352752503368</v>
      </c>
      <c r="N220" s="34"/>
      <c r="O220" s="13">
        <v>1.05</v>
      </c>
      <c r="P220" s="23">
        <v>4</v>
      </c>
    </row>
    <row r="221" spans="1:16" s="13" customFormat="1" ht="19.5">
      <c r="A221" s="14">
        <v>142</v>
      </c>
      <c r="B221" s="210" t="s">
        <v>203</v>
      </c>
      <c r="C221" s="47" t="str">
        <f>'МРСК 2'!C221</f>
        <v>2,5+2,5</v>
      </c>
      <c r="D221" s="47">
        <v>1888</v>
      </c>
      <c r="E221" s="47">
        <v>744</v>
      </c>
      <c r="F221" s="120">
        <f t="shared" si="17"/>
        <v>2.0293052998501726</v>
      </c>
      <c r="G221" s="46">
        <v>1.435432922178513</v>
      </c>
      <c r="H221" s="16">
        <v>80</v>
      </c>
      <c r="I221" s="46">
        <f t="shared" si="16"/>
        <v>0.5938723776716597</v>
      </c>
      <c r="J221" s="15">
        <v>0</v>
      </c>
      <c r="K221" s="45">
        <f t="shared" si="14"/>
        <v>2.625</v>
      </c>
      <c r="L221" s="105">
        <f t="shared" si="15"/>
        <v>2.0311276223283405</v>
      </c>
      <c r="M221" s="46">
        <f t="shared" si="13"/>
        <v>2.0311276223283405</v>
      </c>
      <c r="N221" s="34"/>
      <c r="O221" s="13">
        <v>1.05</v>
      </c>
      <c r="P221" s="23">
        <v>2.5</v>
      </c>
    </row>
    <row r="222" spans="1:16" s="13" customFormat="1" ht="19.5">
      <c r="A222" s="14">
        <v>143</v>
      </c>
      <c r="B222" s="210" t="s">
        <v>204</v>
      </c>
      <c r="C222" s="47" t="str">
        <f>'МРСК 2'!C222</f>
        <v>4+4</v>
      </c>
      <c r="D222" s="47">
        <v>2216</v>
      </c>
      <c r="E222" s="47">
        <v>964</v>
      </c>
      <c r="F222" s="120">
        <f t="shared" si="17"/>
        <v>2.4165992634278446</v>
      </c>
      <c r="G222" s="46">
        <v>1.7332102024177531</v>
      </c>
      <c r="H222" s="16">
        <v>80</v>
      </c>
      <c r="I222" s="46">
        <f t="shared" si="16"/>
        <v>0.6833890610100914</v>
      </c>
      <c r="J222" s="15">
        <v>0</v>
      </c>
      <c r="K222" s="45">
        <f t="shared" si="14"/>
        <v>4.2</v>
      </c>
      <c r="L222" s="105">
        <f t="shared" si="15"/>
        <v>3.516610938989909</v>
      </c>
      <c r="M222" s="46">
        <f aca="true" t="shared" si="18" ref="M222:M255">L222</f>
        <v>3.516610938989909</v>
      </c>
      <c r="N222" s="34"/>
      <c r="O222" s="13">
        <v>1.05</v>
      </c>
      <c r="P222" s="23">
        <v>4</v>
      </c>
    </row>
    <row r="223" spans="1:16" s="13" customFormat="1" ht="19.5">
      <c r="A223" s="14">
        <v>144</v>
      </c>
      <c r="B223" s="210" t="s">
        <v>205</v>
      </c>
      <c r="C223" s="47" t="str">
        <f>'МРСК 2'!C223</f>
        <v>6,3+6,3</v>
      </c>
      <c r="D223" s="47">
        <v>7040</v>
      </c>
      <c r="E223" s="47">
        <v>2384</v>
      </c>
      <c r="F223" s="120">
        <f t="shared" si="17"/>
        <v>7.432701796789644</v>
      </c>
      <c r="G223" s="46">
        <v>0.872</v>
      </c>
      <c r="H223" s="16">
        <v>80</v>
      </c>
      <c r="I223" s="46">
        <f t="shared" si="16"/>
        <v>6.560701796789644</v>
      </c>
      <c r="J223" s="15">
        <v>0</v>
      </c>
      <c r="K223" s="45">
        <f t="shared" si="14"/>
        <v>6.615</v>
      </c>
      <c r="L223" s="105">
        <f t="shared" si="15"/>
        <v>0.05429820321035628</v>
      </c>
      <c r="M223" s="46">
        <f t="shared" si="18"/>
        <v>0.05429820321035628</v>
      </c>
      <c r="N223" s="34"/>
      <c r="O223" s="13">
        <v>1.05</v>
      </c>
      <c r="P223" s="23">
        <v>6.3</v>
      </c>
    </row>
    <row r="224" spans="1:16" s="13" customFormat="1" ht="19.5">
      <c r="A224" s="14">
        <v>145</v>
      </c>
      <c r="B224" s="210" t="s">
        <v>206</v>
      </c>
      <c r="C224" s="47" t="str">
        <f>'МРСК 2'!C224</f>
        <v>4+4</v>
      </c>
      <c r="D224" s="47">
        <v>2172</v>
      </c>
      <c r="E224" s="47">
        <v>768</v>
      </c>
      <c r="F224" s="120">
        <f t="shared" si="17"/>
        <v>2.3037812396145605</v>
      </c>
      <c r="G224" s="46">
        <v>0.553</v>
      </c>
      <c r="H224" s="16">
        <v>80</v>
      </c>
      <c r="I224" s="46">
        <f t="shared" si="16"/>
        <v>1.7507812396145606</v>
      </c>
      <c r="J224" s="15">
        <v>0</v>
      </c>
      <c r="K224" s="45">
        <f t="shared" si="14"/>
        <v>4.2</v>
      </c>
      <c r="L224" s="105">
        <f t="shared" si="15"/>
        <v>2.4492187603854396</v>
      </c>
      <c r="M224" s="46">
        <f t="shared" si="18"/>
        <v>2.4492187603854396</v>
      </c>
      <c r="N224" s="34"/>
      <c r="O224" s="13">
        <v>1.05</v>
      </c>
      <c r="P224" s="23">
        <v>4</v>
      </c>
    </row>
    <row r="225" spans="1:16" s="13" customFormat="1" ht="19.5">
      <c r="A225" s="14">
        <v>146</v>
      </c>
      <c r="B225" s="210" t="s">
        <v>207</v>
      </c>
      <c r="C225" s="47" t="str">
        <f>'МРСК 2'!C225</f>
        <v>2,5+2,5</v>
      </c>
      <c r="D225" s="47">
        <v>1528</v>
      </c>
      <c r="E225" s="47">
        <v>664</v>
      </c>
      <c r="F225" s="120">
        <f t="shared" si="17"/>
        <v>1.666037214470313</v>
      </c>
      <c r="G225" s="46">
        <v>1.1224919242012794</v>
      </c>
      <c r="H225" s="16">
        <v>45</v>
      </c>
      <c r="I225" s="46">
        <f t="shared" si="16"/>
        <v>0.5435452902690336</v>
      </c>
      <c r="J225" s="15">
        <v>0</v>
      </c>
      <c r="K225" s="45">
        <f t="shared" si="14"/>
        <v>2.625</v>
      </c>
      <c r="L225" s="105">
        <f t="shared" si="15"/>
        <v>2.0814547097309664</v>
      </c>
      <c r="M225" s="46">
        <f t="shared" si="18"/>
        <v>2.0814547097309664</v>
      </c>
      <c r="N225" s="34"/>
      <c r="O225" s="13">
        <v>1.05</v>
      </c>
      <c r="P225" s="23">
        <v>2.5</v>
      </c>
    </row>
    <row r="226" spans="1:16" s="13" customFormat="1" ht="19.5">
      <c r="A226" s="14">
        <v>147</v>
      </c>
      <c r="B226" s="210" t="s">
        <v>208</v>
      </c>
      <c r="C226" s="47" t="str">
        <f>'МРСК 2'!C226</f>
        <v>6,3+4</v>
      </c>
      <c r="D226" s="47">
        <v>1152</v>
      </c>
      <c r="E226" s="47">
        <v>528</v>
      </c>
      <c r="F226" s="120">
        <f t="shared" si="17"/>
        <v>1.2672363631146322</v>
      </c>
      <c r="G226" s="46">
        <v>0.6463610983551401</v>
      </c>
      <c r="H226" s="16">
        <v>80</v>
      </c>
      <c r="I226" s="46">
        <f t="shared" si="16"/>
        <v>0.6208752647594921</v>
      </c>
      <c r="J226" s="15">
        <v>0</v>
      </c>
      <c r="K226" s="45">
        <f aca="true" t="shared" si="19" ref="K226:K255">O226*P226</f>
        <v>4.2</v>
      </c>
      <c r="L226" s="105">
        <f aca="true" t="shared" si="20" ref="L226:L255">K226-J226-I226</f>
        <v>3.5791247352405082</v>
      </c>
      <c r="M226" s="46">
        <f t="shared" si="18"/>
        <v>3.5791247352405082</v>
      </c>
      <c r="N226" s="34"/>
      <c r="O226" s="13">
        <v>1.05</v>
      </c>
      <c r="P226" s="23">
        <v>4</v>
      </c>
    </row>
    <row r="227" spans="1:16" s="13" customFormat="1" ht="19.5">
      <c r="A227" s="14">
        <v>148</v>
      </c>
      <c r="B227" s="210" t="s">
        <v>209</v>
      </c>
      <c r="C227" s="47" t="str">
        <f>'МРСК 2'!C227</f>
        <v>4+4</v>
      </c>
      <c r="D227" s="47">
        <v>2268</v>
      </c>
      <c r="E227" s="47">
        <v>780</v>
      </c>
      <c r="F227" s="120">
        <f t="shared" si="17"/>
        <v>2.398379452880632</v>
      </c>
      <c r="G227" s="46">
        <v>0</v>
      </c>
      <c r="H227" s="16"/>
      <c r="I227" s="46">
        <f t="shared" si="16"/>
        <v>2.398379452880632</v>
      </c>
      <c r="J227" s="15">
        <v>0</v>
      </c>
      <c r="K227" s="45">
        <f t="shared" si="19"/>
        <v>4.2</v>
      </c>
      <c r="L227" s="105">
        <f t="shared" si="20"/>
        <v>1.8016205471193683</v>
      </c>
      <c r="M227" s="46">
        <f t="shared" si="18"/>
        <v>1.8016205471193683</v>
      </c>
      <c r="N227" s="34"/>
      <c r="O227" s="13">
        <v>1.05</v>
      </c>
      <c r="P227" s="23">
        <v>4</v>
      </c>
    </row>
    <row r="228" spans="1:16" s="13" customFormat="1" ht="19.5">
      <c r="A228" s="14">
        <v>149</v>
      </c>
      <c r="B228" s="210" t="s">
        <v>210</v>
      </c>
      <c r="C228" s="47" t="str">
        <f>'МРСК 2'!C228</f>
        <v>6,3+6,3</v>
      </c>
      <c r="D228" s="47">
        <v>5357</v>
      </c>
      <c r="E228" s="47">
        <v>2160</v>
      </c>
      <c r="F228" s="120">
        <f t="shared" si="17"/>
        <v>5.776075570835271</v>
      </c>
      <c r="G228" s="46">
        <v>0</v>
      </c>
      <c r="H228" s="16"/>
      <c r="I228" s="46">
        <f t="shared" si="16"/>
        <v>5.776075570835271</v>
      </c>
      <c r="J228" s="15">
        <v>0</v>
      </c>
      <c r="K228" s="45">
        <f t="shared" si="19"/>
        <v>6.615</v>
      </c>
      <c r="L228" s="105">
        <f t="shared" si="20"/>
        <v>0.8389244291647291</v>
      </c>
      <c r="M228" s="46">
        <f t="shared" si="18"/>
        <v>0.8389244291647291</v>
      </c>
      <c r="N228" s="34"/>
      <c r="O228" s="13">
        <v>1.05</v>
      </c>
      <c r="P228" s="47">
        <v>6.3</v>
      </c>
    </row>
    <row r="229" spans="1:16" s="13" customFormat="1" ht="19.5">
      <c r="A229" s="14">
        <v>150</v>
      </c>
      <c r="B229" s="210" t="s">
        <v>211</v>
      </c>
      <c r="C229" s="47" t="str">
        <f>'МРСК 2'!C229</f>
        <v>2,5+2,5</v>
      </c>
      <c r="D229" s="47">
        <v>544</v>
      </c>
      <c r="E229" s="47">
        <v>360</v>
      </c>
      <c r="F229" s="120">
        <f t="shared" si="17"/>
        <v>0.652331204220678</v>
      </c>
      <c r="G229" s="46">
        <v>0.3763754343811262</v>
      </c>
      <c r="H229" s="16">
        <v>80</v>
      </c>
      <c r="I229" s="46">
        <f t="shared" si="16"/>
        <v>0.27595576983955183</v>
      </c>
      <c r="J229" s="15">
        <v>0</v>
      </c>
      <c r="K229" s="45">
        <f t="shared" si="19"/>
        <v>2.625</v>
      </c>
      <c r="L229" s="105">
        <f t="shared" si="20"/>
        <v>2.349044230160448</v>
      </c>
      <c r="M229" s="46">
        <f t="shared" si="18"/>
        <v>2.349044230160448</v>
      </c>
      <c r="N229" s="34"/>
      <c r="O229" s="13">
        <v>1.05</v>
      </c>
      <c r="P229" s="47">
        <v>2.5</v>
      </c>
    </row>
    <row r="230" spans="1:16" s="13" customFormat="1" ht="19.5">
      <c r="A230" s="14">
        <v>151</v>
      </c>
      <c r="B230" s="210" t="s">
        <v>212</v>
      </c>
      <c r="C230" s="47" t="str">
        <f>'МРСК 2'!C230</f>
        <v>2,5+2,5</v>
      </c>
      <c r="D230" s="47">
        <v>1502</v>
      </c>
      <c r="E230" s="47">
        <v>424</v>
      </c>
      <c r="F230" s="120">
        <f t="shared" si="17"/>
        <v>1.5606985615422346</v>
      </c>
      <c r="G230" s="46">
        <v>0.352</v>
      </c>
      <c r="H230" s="16">
        <v>120</v>
      </c>
      <c r="I230" s="46">
        <f t="shared" si="16"/>
        <v>1.2086985615422345</v>
      </c>
      <c r="J230" s="15">
        <v>0</v>
      </c>
      <c r="K230" s="45">
        <f t="shared" si="19"/>
        <v>2.625</v>
      </c>
      <c r="L230" s="105">
        <f t="shared" si="20"/>
        <v>1.4163014384577655</v>
      </c>
      <c r="M230" s="46">
        <f t="shared" si="18"/>
        <v>1.4163014384577655</v>
      </c>
      <c r="N230" s="34"/>
      <c r="O230" s="13">
        <v>1.05</v>
      </c>
      <c r="P230" s="47">
        <v>2.5</v>
      </c>
    </row>
    <row r="231" spans="1:16" s="13" customFormat="1" ht="19.5">
      <c r="A231" s="14">
        <v>152</v>
      </c>
      <c r="B231" s="210" t="s">
        <v>213</v>
      </c>
      <c r="C231" s="47" t="str">
        <f>'МРСК 2'!C231</f>
        <v>6,3+6,3</v>
      </c>
      <c r="D231" s="47">
        <v>2624</v>
      </c>
      <c r="E231" s="47">
        <v>992</v>
      </c>
      <c r="F231" s="120">
        <f t="shared" si="17"/>
        <v>2.805252216824719</v>
      </c>
      <c r="G231" s="46">
        <v>0.164</v>
      </c>
      <c r="H231" s="16">
        <v>45</v>
      </c>
      <c r="I231" s="46">
        <f t="shared" si="16"/>
        <v>2.641252216824719</v>
      </c>
      <c r="J231" s="15">
        <v>0</v>
      </c>
      <c r="K231" s="45">
        <f t="shared" si="19"/>
        <v>6.615</v>
      </c>
      <c r="L231" s="105">
        <f t="shared" si="20"/>
        <v>3.9737477831752814</v>
      </c>
      <c r="M231" s="46">
        <f t="shared" si="18"/>
        <v>3.9737477831752814</v>
      </c>
      <c r="N231" s="34"/>
      <c r="O231" s="13">
        <v>1.05</v>
      </c>
      <c r="P231" s="47">
        <v>6.3</v>
      </c>
    </row>
    <row r="232" spans="1:16" s="13" customFormat="1" ht="19.5">
      <c r="A232" s="14">
        <v>153</v>
      </c>
      <c r="B232" s="210" t="s">
        <v>214</v>
      </c>
      <c r="C232" s="47" t="str">
        <f>'МРСК 2'!C232</f>
        <v>2,5+2,5</v>
      </c>
      <c r="D232" s="47">
        <v>1314</v>
      </c>
      <c r="E232" s="47">
        <v>576</v>
      </c>
      <c r="F232" s="120">
        <f t="shared" si="17"/>
        <v>1.4347027566712207</v>
      </c>
      <c r="G232" s="46">
        <v>0.662</v>
      </c>
      <c r="H232" s="16">
        <v>80</v>
      </c>
      <c r="I232" s="46">
        <f t="shared" si="16"/>
        <v>0.7727027566712207</v>
      </c>
      <c r="J232" s="15">
        <v>0</v>
      </c>
      <c r="K232" s="45">
        <f t="shared" si="19"/>
        <v>2.625</v>
      </c>
      <c r="L232" s="105">
        <f t="shared" si="20"/>
        <v>1.8522972433287794</v>
      </c>
      <c r="M232" s="46">
        <f t="shared" si="18"/>
        <v>1.8522972433287794</v>
      </c>
      <c r="N232" s="34"/>
      <c r="O232" s="13">
        <v>1.05</v>
      </c>
      <c r="P232" s="47">
        <v>2.5</v>
      </c>
    </row>
    <row r="233" spans="1:16" s="13" customFormat="1" ht="19.5">
      <c r="A233" s="14">
        <v>154</v>
      </c>
      <c r="B233" s="210" t="s">
        <v>215</v>
      </c>
      <c r="C233" s="47" t="str">
        <f>'МРСК 2'!C233</f>
        <v>2,5+2,5</v>
      </c>
      <c r="D233" s="47">
        <v>1464</v>
      </c>
      <c r="E233" s="47">
        <v>736</v>
      </c>
      <c r="F233" s="120">
        <f t="shared" si="17"/>
        <v>1.6385945197027847</v>
      </c>
      <c r="G233" s="46">
        <v>0.8849109793349925</v>
      </c>
      <c r="H233" s="16">
        <v>80</v>
      </c>
      <c r="I233" s="46">
        <f t="shared" si="16"/>
        <v>0.7536835403677922</v>
      </c>
      <c r="J233" s="15">
        <v>0</v>
      </c>
      <c r="K233" s="45">
        <f t="shared" si="19"/>
        <v>2.625</v>
      </c>
      <c r="L233" s="105">
        <f t="shared" si="20"/>
        <v>1.8713164596322078</v>
      </c>
      <c r="M233" s="46">
        <f t="shared" si="18"/>
        <v>1.8713164596322078</v>
      </c>
      <c r="N233" s="34"/>
      <c r="O233" s="13">
        <v>1.05</v>
      </c>
      <c r="P233" s="47">
        <v>2.5</v>
      </c>
    </row>
    <row r="234" spans="1:16" s="13" customFormat="1" ht="19.5">
      <c r="A234" s="14">
        <v>155</v>
      </c>
      <c r="B234" s="210" t="s">
        <v>216</v>
      </c>
      <c r="C234" s="47" t="str">
        <f>'МРСК 2'!C234</f>
        <v>10+10</v>
      </c>
      <c r="D234" s="47">
        <v>6576</v>
      </c>
      <c r="E234" s="47">
        <v>3408</v>
      </c>
      <c r="F234" s="120">
        <f t="shared" si="17"/>
        <v>7.40663486341807</v>
      </c>
      <c r="G234" s="46">
        <v>2.53</v>
      </c>
      <c r="H234" s="16">
        <v>45</v>
      </c>
      <c r="I234" s="46">
        <f t="shared" si="16"/>
        <v>4.8766348634180705</v>
      </c>
      <c r="J234" s="15">
        <v>0</v>
      </c>
      <c r="K234" s="45">
        <f t="shared" si="19"/>
        <v>10.5</v>
      </c>
      <c r="L234" s="105">
        <f t="shared" si="20"/>
        <v>5.6233651365819295</v>
      </c>
      <c r="M234" s="46">
        <f t="shared" si="18"/>
        <v>5.6233651365819295</v>
      </c>
      <c r="N234" s="34"/>
      <c r="O234" s="13">
        <v>1.05</v>
      </c>
      <c r="P234" s="47">
        <v>10</v>
      </c>
    </row>
    <row r="235" spans="1:16" s="13" customFormat="1" ht="19.5">
      <c r="A235" s="14">
        <v>156</v>
      </c>
      <c r="B235" s="210" t="s">
        <v>217</v>
      </c>
      <c r="C235" s="47" t="str">
        <f>'МРСК 2'!C235</f>
        <v>4+4</v>
      </c>
      <c r="D235" s="47">
        <v>3240</v>
      </c>
      <c r="E235" s="47">
        <v>1272</v>
      </c>
      <c r="F235" s="120">
        <f t="shared" si="17"/>
        <v>3.4807447478951974</v>
      </c>
      <c r="G235" s="46">
        <v>1.7392964094713703</v>
      </c>
      <c r="H235" s="16">
        <v>120</v>
      </c>
      <c r="I235" s="46">
        <f t="shared" si="16"/>
        <v>1.741448338423827</v>
      </c>
      <c r="J235" s="15">
        <v>0</v>
      </c>
      <c r="K235" s="45">
        <f t="shared" si="19"/>
        <v>4.2</v>
      </c>
      <c r="L235" s="105">
        <f t="shared" si="20"/>
        <v>2.4585516615761733</v>
      </c>
      <c r="M235" s="46">
        <f t="shared" si="18"/>
        <v>2.4585516615761733</v>
      </c>
      <c r="N235" s="34"/>
      <c r="O235" s="13">
        <v>1.05</v>
      </c>
      <c r="P235" s="47">
        <v>4</v>
      </c>
    </row>
    <row r="236" spans="1:16" s="13" customFormat="1" ht="19.5">
      <c r="A236" s="14">
        <v>157</v>
      </c>
      <c r="B236" s="210" t="s">
        <v>218</v>
      </c>
      <c r="C236" s="47" t="str">
        <f>'МРСК 2'!C236</f>
        <v>2,5+2,5</v>
      </c>
      <c r="D236" s="47">
        <v>1536</v>
      </c>
      <c r="E236" s="47">
        <v>720</v>
      </c>
      <c r="F236" s="120">
        <f t="shared" si="17"/>
        <v>1.69637731651894</v>
      </c>
      <c r="G236" s="46">
        <v>0</v>
      </c>
      <c r="H236" s="16"/>
      <c r="I236" s="46">
        <f t="shared" si="16"/>
        <v>1.69637731651894</v>
      </c>
      <c r="J236" s="15">
        <v>0</v>
      </c>
      <c r="K236" s="45">
        <f t="shared" si="19"/>
        <v>2.625</v>
      </c>
      <c r="L236" s="105">
        <f t="shared" si="20"/>
        <v>0.92862268348106</v>
      </c>
      <c r="M236" s="46">
        <f t="shared" si="18"/>
        <v>0.92862268348106</v>
      </c>
      <c r="N236" s="34"/>
      <c r="O236" s="13">
        <v>1.05</v>
      </c>
      <c r="P236" s="47">
        <v>2.5</v>
      </c>
    </row>
    <row r="237" spans="1:16" s="13" customFormat="1" ht="19.5">
      <c r="A237" s="14">
        <v>158</v>
      </c>
      <c r="B237" s="210" t="s">
        <v>219</v>
      </c>
      <c r="C237" s="47" t="str">
        <f>'МРСК 2'!C237</f>
        <v>2,5+2,5</v>
      </c>
      <c r="D237" s="47">
        <v>384</v>
      </c>
      <c r="E237" s="47">
        <v>192</v>
      </c>
      <c r="F237" s="120">
        <f t="shared" si="17"/>
        <v>0.42932505167995966</v>
      </c>
      <c r="G237" s="46">
        <v>0.2275127113166862</v>
      </c>
      <c r="H237" s="16">
        <v>120</v>
      </c>
      <c r="I237" s="46">
        <f t="shared" si="16"/>
        <v>0.20181234036327345</v>
      </c>
      <c r="J237" s="15">
        <v>0</v>
      </c>
      <c r="K237" s="45">
        <f t="shared" si="19"/>
        <v>2.625</v>
      </c>
      <c r="L237" s="105">
        <f t="shared" si="20"/>
        <v>2.4231876596367266</v>
      </c>
      <c r="M237" s="46">
        <f t="shared" si="18"/>
        <v>2.4231876596367266</v>
      </c>
      <c r="N237" s="34"/>
      <c r="O237" s="13">
        <v>1.05</v>
      </c>
      <c r="P237" s="47">
        <v>2.5</v>
      </c>
    </row>
    <row r="238" spans="1:16" s="13" customFormat="1" ht="19.5">
      <c r="A238" s="14">
        <v>159</v>
      </c>
      <c r="B238" s="210" t="s">
        <v>220</v>
      </c>
      <c r="C238" s="47" t="str">
        <f>'МРСК 2'!C238</f>
        <v>6,3+6,3</v>
      </c>
      <c r="D238" s="47">
        <v>6264</v>
      </c>
      <c r="E238" s="47">
        <v>1887</v>
      </c>
      <c r="F238" s="120">
        <f t="shared" si="17"/>
        <v>6.542053576668415</v>
      </c>
      <c r="G238" s="46">
        <v>4.804906036985494</v>
      </c>
      <c r="H238" s="16">
        <v>120</v>
      </c>
      <c r="I238" s="46">
        <f t="shared" si="16"/>
        <v>1.7371475396829217</v>
      </c>
      <c r="J238" s="15">
        <v>0</v>
      </c>
      <c r="K238" s="45">
        <f t="shared" si="19"/>
        <v>6.615</v>
      </c>
      <c r="L238" s="105">
        <f t="shared" si="20"/>
        <v>4.8778524603170785</v>
      </c>
      <c r="M238" s="46">
        <f t="shared" si="18"/>
        <v>4.8778524603170785</v>
      </c>
      <c r="N238" s="34"/>
      <c r="O238" s="13">
        <v>1.05</v>
      </c>
      <c r="P238" s="47">
        <v>6.3</v>
      </c>
    </row>
    <row r="239" spans="1:16" s="13" customFormat="1" ht="19.5">
      <c r="A239" s="14">
        <v>160</v>
      </c>
      <c r="B239" s="210" t="s">
        <v>221</v>
      </c>
      <c r="C239" s="47" t="str">
        <f>'МРСК 2'!C239</f>
        <v>2,5+2,5</v>
      </c>
      <c r="D239" s="47">
        <v>1830</v>
      </c>
      <c r="E239" s="47">
        <v>852</v>
      </c>
      <c r="F239" s="120">
        <f t="shared" si="17"/>
        <v>2.018614376249213</v>
      </c>
      <c r="G239" s="46">
        <v>1.062118637441223</v>
      </c>
      <c r="H239" s="16">
        <v>80</v>
      </c>
      <c r="I239" s="46">
        <f t="shared" si="16"/>
        <v>0.95649573880799</v>
      </c>
      <c r="J239" s="15">
        <v>0</v>
      </c>
      <c r="K239" s="45">
        <f t="shared" si="19"/>
        <v>2.625</v>
      </c>
      <c r="L239" s="105">
        <f t="shared" si="20"/>
        <v>1.66850426119201</v>
      </c>
      <c r="M239" s="46">
        <f t="shared" si="18"/>
        <v>1.66850426119201</v>
      </c>
      <c r="N239" s="34"/>
      <c r="O239" s="13">
        <v>1.05</v>
      </c>
      <c r="P239" s="47">
        <v>2.5</v>
      </c>
    </row>
    <row r="240" spans="1:16" s="13" customFormat="1" ht="19.5">
      <c r="A240" s="14">
        <v>161</v>
      </c>
      <c r="B240" s="210" t="s">
        <v>222</v>
      </c>
      <c r="C240" s="47" t="str">
        <f>'МРСК 2'!C240</f>
        <v>4+4</v>
      </c>
      <c r="D240" s="47">
        <v>2224</v>
      </c>
      <c r="E240" s="47">
        <v>1392</v>
      </c>
      <c r="F240" s="120">
        <f t="shared" si="17"/>
        <v>2.6237073007483134</v>
      </c>
      <c r="G240" s="46">
        <v>1.1305772892533212</v>
      </c>
      <c r="H240" s="16">
        <v>120</v>
      </c>
      <c r="I240" s="46">
        <f t="shared" si="16"/>
        <v>1.4931300114949921</v>
      </c>
      <c r="J240" s="15">
        <v>0</v>
      </c>
      <c r="K240" s="45">
        <f t="shared" si="19"/>
        <v>4.2</v>
      </c>
      <c r="L240" s="105">
        <f t="shared" si="20"/>
        <v>2.706869988505008</v>
      </c>
      <c r="M240" s="46">
        <f t="shared" si="18"/>
        <v>2.706869988505008</v>
      </c>
      <c r="N240" s="34"/>
      <c r="O240" s="13">
        <v>1.05</v>
      </c>
      <c r="P240" s="47">
        <v>4</v>
      </c>
    </row>
    <row r="241" spans="1:16" s="13" customFormat="1" ht="19.5">
      <c r="A241" s="14">
        <v>162</v>
      </c>
      <c r="B241" s="210" t="s">
        <v>223</v>
      </c>
      <c r="C241" s="47" t="str">
        <f>'МРСК 2'!C241</f>
        <v>16+16</v>
      </c>
      <c r="D241" s="47">
        <v>11806</v>
      </c>
      <c r="E241" s="47">
        <v>4574</v>
      </c>
      <c r="F241" s="120">
        <f t="shared" si="17"/>
        <v>12.661086525255248</v>
      </c>
      <c r="G241" s="46">
        <v>1.21</v>
      </c>
      <c r="H241" s="16">
        <v>80</v>
      </c>
      <c r="I241" s="46">
        <f t="shared" si="16"/>
        <v>11.45108652525525</v>
      </c>
      <c r="J241" s="15">
        <v>0</v>
      </c>
      <c r="K241" s="45">
        <f t="shared" si="19"/>
        <v>16.8</v>
      </c>
      <c r="L241" s="105">
        <f t="shared" si="20"/>
        <v>5.3489134747447515</v>
      </c>
      <c r="M241" s="46">
        <f t="shared" si="18"/>
        <v>5.3489134747447515</v>
      </c>
      <c r="N241" s="34"/>
      <c r="O241" s="13">
        <v>1.05</v>
      </c>
      <c r="P241" s="47">
        <v>16</v>
      </c>
    </row>
    <row r="242" spans="1:16" s="13" customFormat="1" ht="19.5">
      <c r="A242" s="14">
        <v>163</v>
      </c>
      <c r="B242" s="210" t="s">
        <v>224</v>
      </c>
      <c r="C242" s="47" t="str">
        <f>'МРСК 2'!C242</f>
        <v>4+4</v>
      </c>
      <c r="D242" s="47">
        <v>1464</v>
      </c>
      <c r="E242" s="47">
        <v>660</v>
      </c>
      <c r="F242" s="120">
        <f t="shared" si="17"/>
        <v>1.6058941434602718</v>
      </c>
      <c r="G242" s="46">
        <v>1.3453007325017299</v>
      </c>
      <c r="H242" s="16">
        <v>45</v>
      </c>
      <c r="I242" s="46">
        <f t="shared" si="16"/>
        <v>0.26059341095854194</v>
      </c>
      <c r="J242" s="15">
        <v>0</v>
      </c>
      <c r="K242" s="45">
        <f t="shared" si="19"/>
        <v>4.2</v>
      </c>
      <c r="L242" s="105">
        <f t="shared" si="20"/>
        <v>3.9394065890414582</v>
      </c>
      <c r="M242" s="46">
        <f t="shared" si="18"/>
        <v>3.9394065890414582</v>
      </c>
      <c r="N242" s="34"/>
      <c r="O242" s="13">
        <v>1.05</v>
      </c>
      <c r="P242" s="47">
        <v>4</v>
      </c>
    </row>
    <row r="243" spans="1:16" s="13" customFormat="1" ht="19.5">
      <c r="A243" s="14">
        <v>164</v>
      </c>
      <c r="B243" s="210" t="s">
        <v>225</v>
      </c>
      <c r="C243" s="47" t="str">
        <f>'МРСК 2'!C243</f>
        <v>10+10</v>
      </c>
      <c r="D243" s="47">
        <v>8592</v>
      </c>
      <c r="E243" s="47">
        <v>1296</v>
      </c>
      <c r="F243" s="120">
        <f t="shared" si="17"/>
        <v>8.689193288217268</v>
      </c>
      <c r="G243" s="46">
        <v>0.531</v>
      </c>
      <c r="H243" s="16">
        <v>45</v>
      </c>
      <c r="I243" s="46">
        <f t="shared" si="16"/>
        <v>8.158193288217268</v>
      </c>
      <c r="J243" s="15">
        <v>0</v>
      </c>
      <c r="K243" s="45">
        <f t="shared" si="19"/>
        <v>10.5</v>
      </c>
      <c r="L243" s="105">
        <f t="shared" si="20"/>
        <v>2.3418067117827324</v>
      </c>
      <c r="M243" s="46">
        <f t="shared" si="18"/>
        <v>2.3418067117827324</v>
      </c>
      <c r="N243" s="34"/>
      <c r="O243" s="13">
        <v>1.05</v>
      </c>
      <c r="P243" s="47">
        <v>10</v>
      </c>
    </row>
    <row r="244" spans="1:16" s="13" customFormat="1" ht="19.5">
      <c r="A244" s="14">
        <v>165</v>
      </c>
      <c r="B244" s="210" t="s">
        <v>226</v>
      </c>
      <c r="C244" s="47" t="str">
        <f>'МРСК 2'!C244</f>
        <v>2,5+2,5</v>
      </c>
      <c r="D244" s="47">
        <v>1116</v>
      </c>
      <c r="E244" s="47">
        <v>636</v>
      </c>
      <c r="F244" s="120">
        <f t="shared" si="17"/>
        <v>1.2845045737559677</v>
      </c>
      <c r="G244" s="46">
        <v>0.4497830700715363</v>
      </c>
      <c r="H244" s="16">
        <v>80</v>
      </c>
      <c r="I244" s="46">
        <f t="shared" si="16"/>
        <v>0.8347215036844314</v>
      </c>
      <c r="J244" s="15">
        <v>0</v>
      </c>
      <c r="K244" s="45">
        <f t="shared" si="19"/>
        <v>2.625</v>
      </c>
      <c r="L244" s="105">
        <f t="shared" si="20"/>
        <v>1.7902784963155685</v>
      </c>
      <c r="M244" s="46">
        <f t="shared" si="18"/>
        <v>1.7902784963155685</v>
      </c>
      <c r="N244" s="34"/>
      <c r="O244" s="13">
        <v>1.05</v>
      </c>
      <c r="P244" s="47">
        <v>2.5</v>
      </c>
    </row>
    <row r="245" spans="1:16" s="13" customFormat="1" ht="19.5">
      <c r="A245" s="14">
        <v>166</v>
      </c>
      <c r="B245" s="210" t="s">
        <v>227</v>
      </c>
      <c r="C245" s="47" t="str">
        <f>'МРСК 2'!C245</f>
        <v>6,3+6,3</v>
      </c>
      <c r="D245" s="47">
        <v>4776</v>
      </c>
      <c r="E245" s="47">
        <v>1524</v>
      </c>
      <c r="F245" s="120">
        <f t="shared" si="17"/>
        <v>5.0132576235418025</v>
      </c>
      <c r="G245" s="46">
        <v>1.39</v>
      </c>
      <c r="H245" s="16">
        <v>120</v>
      </c>
      <c r="I245" s="46">
        <f aca="true" t="shared" si="21" ref="I245:I255">F245-G245</f>
        <v>3.623257623541803</v>
      </c>
      <c r="J245" s="15">
        <v>0</v>
      </c>
      <c r="K245" s="45">
        <f t="shared" si="19"/>
        <v>6.615</v>
      </c>
      <c r="L245" s="105">
        <f t="shared" si="20"/>
        <v>2.9917423764581974</v>
      </c>
      <c r="M245" s="46">
        <f t="shared" si="18"/>
        <v>2.9917423764581974</v>
      </c>
      <c r="N245" s="34"/>
      <c r="O245" s="13">
        <v>1.05</v>
      </c>
      <c r="P245" s="47">
        <v>6.3</v>
      </c>
    </row>
    <row r="246" spans="1:16" s="13" customFormat="1" ht="19.5">
      <c r="A246" s="14">
        <v>167</v>
      </c>
      <c r="B246" s="210" t="s">
        <v>228</v>
      </c>
      <c r="C246" s="47" t="str">
        <f>'МРСК 2'!C246</f>
        <v>1,6+2,5</v>
      </c>
      <c r="D246" s="47">
        <v>682</v>
      </c>
      <c r="E246" s="47">
        <v>272</v>
      </c>
      <c r="F246" s="120">
        <f t="shared" si="17"/>
        <v>0.7342397428633239</v>
      </c>
      <c r="G246" s="46">
        <v>0.4724167338631652</v>
      </c>
      <c r="H246" s="16">
        <v>80</v>
      </c>
      <c r="I246" s="46">
        <f t="shared" si="21"/>
        <v>0.26182300900015876</v>
      </c>
      <c r="J246" s="15">
        <v>0</v>
      </c>
      <c r="K246" s="45">
        <f t="shared" si="19"/>
        <v>1.6800000000000002</v>
      </c>
      <c r="L246" s="105">
        <f t="shared" si="20"/>
        <v>1.4181769909998414</v>
      </c>
      <c r="M246" s="46">
        <f t="shared" si="18"/>
        <v>1.4181769909998414</v>
      </c>
      <c r="N246" s="34"/>
      <c r="O246" s="13">
        <v>1.05</v>
      </c>
      <c r="P246" s="47">
        <v>1.6</v>
      </c>
    </row>
    <row r="247" spans="1:16" s="13" customFormat="1" ht="19.5">
      <c r="A247" s="14">
        <v>168</v>
      </c>
      <c r="B247" s="210" t="s">
        <v>229</v>
      </c>
      <c r="C247" s="47" t="str">
        <f>'МРСК 2'!C247</f>
        <v>4+4</v>
      </c>
      <c r="D247" s="47">
        <v>2160</v>
      </c>
      <c r="E247" s="47">
        <v>682</v>
      </c>
      <c r="F247" s="120">
        <f t="shared" si="17"/>
        <v>2.2651101518469248</v>
      </c>
      <c r="G247" s="46">
        <v>0</v>
      </c>
      <c r="H247" s="16"/>
      <c r="I247" s="46">
        <f t="shared" si="21"/>
        <v>2.2651101518469248</v>
      </c>
      <c r="J247" s="15">
        <v>0</v>
      </c>
      <c r="K247" s="45">
        <f t="shared" si="19"/>
        <v>4.2</v>
      </c>
      <c r="L247" s="105">
        <f t="shared" si="20"/>
        <v>1.9348898481530754</v>
      </c>
      <c r="M247" s="46">
        <f t="shared" si="18"/>
        <v>1.9348898481530754</v>
      </c>
      <c r="N247" s="34"/>
      <c r="O247" s="13">
        <v>1.05</v>
      </c>
      <c r="P247" s="47">
        <v>4</v>
      </c>
    </row>
    <row r="248" spans="1:16" s="13" customFormat="1" ht="19.5">
      <c r="A248" s="14">
        <v>169</v>
      </c>
      <c r="B248" s="210" t="s">
        <v>230</v>
      </c>
      <c r="C248" s="47" t="str">
        <f>'МРСК 2'!C248</f>
        <v>1,6+2,5</v>
      </c>
      <c r="D248" s="47">
        <v>980</v>
      </c>
      <c r="E248" s="47">
        <v>408</v>
      </c>
      <c r="F248" s="120">
        <f t="shared" si="17"/>
        <v>1.0615385061315488</v>
      </c>
      <c r="G248" s="46">
        <v>0.7868064298244878</v>
      </c>
      <c r="H248" s="16">
        <v>45</v>
      </c>
      <c r="I248" s="46">
        <f t="shared" si="21"/>
        <v>0.274732076307061</v>
      </c>
      <c r="J248" s="15">
        <v>0</v>
      </c>
      <c r="K248" s="45">
        <f t="shared" si="19"/>
        <v>1.6800000000000002</v>
      </c>
      <c r="L248" s="105">
        <f t="shared" si="20"/>
        <v>1.4052679236929393</v>
      </c>
      <c r="M248" s="46">
        <f t="shared" si="18"/>
        <v>1.4052679236929393</v>
      </c>
      <c r="N248" s="34"/>
      <c r="O248" s="13">
        <v>1.05</v>
      </c>
      <c r="P248" s="47">
        <v>1.6</v>
      </c>
    </row>
    <row r="249" spans="1:16" s="13" customFormat="1" ht="19.5">
      <c r="A249" s="14">
        <v>170</v>
      </c>
      <c r="B249" s="210" t="s">
        <v>231</v>
      </c>
      <c r="C249" s="47" t="str">
        <f>'МРСК 2'!C249</f>
        <v>4+4</v>
      </c>
      <c r="D249" s="47">
        <v>1708</v>
      </c>
      <c r="E249" s="47">
        <v>516</v>
      </c>
      <c r="F249" s="120">
        <f t="shared" si="17"/>
        <v>1.7842421360342322</v>
      </c>
      <c r="G249" s="46">
        <v>0</v>
      </c>
      <c r="H249" s="16"/>
      <c r="I249" s="46">
        <f t="shared" si="21"/>
        <v>1.7842421360342322</v>
      </c>
      <c r="J249" s="15">
        <v>0</v>
      </c>
      <c r="K249" s="45">
        <f t="shared" si="19"/>
        <v>4.2</v>
      </c>
      <c r="L249" s="105">
        <f t="shared" si="20"/>
        <v>2.415757863965768</v>
      </c>
      <c r="M249" s="46">
        <f t="shared" si="18"/>
        <v>2.415757863965768</v>
      </c>
      <c r="N249" s="34"/>
      <c r="O249" s="13">
        <v>1.05</v>
      </c>
      <c r="P249" s="47">
        <v>4</v>
      </c>
    </row>
    <row r="250" spans="1:16" s="13" customFormat="1" ht="24" customHeight="1">
      <c r="A250" s="14">
        <v>171</v>
      </c>
      <c r="B250" s="210" t="s">
        <v>232</v>
      </c>
      <c r="C250" s="47" t="str">
        <f>'МРСК 2'!C250</f>
        <v>7,5+6,3</v>
      </c>
      <c r="D250" s="47">
        <v>1608</v>
      </c>
      <c r="E250" s="47">
        <v>1128</v>
      </c>
      <c r="F250" s="120">
        <f t="shared" si="17"/>
        <v>1.9641914366985718</v>
      </c>
      <c r="G250" s="46">
        <v>1.3512660729848878</v>
      </c>
      <c r="H250" s="16">
        <v>20</v>
      </c>
      <c r="I250" s="46">
        <f t="shared" si="21"/>
        <v>0.612925363713684</v>
      </c>
      <c r="J250" s="15">
        <v>0</v>
      </c>
      <c r="K250" s="45">
        <f t="shared" si="19"/>
        <v>6.615</v>
      </c>
      <c r="L250" s="105">
        <f t="shared" si="20"/>
        <v>6.002074636286316</v>
      </c>
      <c r="M250" s="46">
        <f t="shared" si="18"/>
        <v>6.002074636286316</v>
      </c>
      <c r="N250" s="34"/>
      <c r="O250" s="13">
        <v>1.05</v>
      </c>
      <c r="P250" s="47">
        <v>6.3</v>
      </c>
    </row>
    <row r="251" spans="1:16" s="13" customFormat="1" ht="19.5">
      <c r="A251" s="14">
        <v>172</v>
      </c>
      <c r="B251" s="211" t="s">
        <v>233</v>
      </c>
      <c r="C251" s="47" t="str">
        <f>'МРСК 2'!C251</f>
        <v>6,3+6,3</v>
      </c>
      <c r="D251" s="47">
        <v>1928</v>
      </c>
      <c r="E251" s="47">
        <v>736</v>
      </c>
      <c r="F251" s="120">
        <f t="shared" si="17"/>
        <v>2.0637054053328443</v>
      </c>
      <c r="G251" s="46">
        <v>0</v>
      </c>
      <c r="H251" s="16"/>
      <c r="I251" s="46">
        <f t="shared" si="21"/>
        <v>2.0637054053328443</v>
      </c>
      <c r="J251" s="15">
        <v>0</v>
      </c>
      <c r="K251" s="45">
        <f t="shared" si="19"/>
        <v>6.615</v>
      </c>
      <c r="L251" s="105">
        <f t="shared" si="20"/>
        <v>4.551294594667156</v>
      </c>
      <c r="M251" s="46">
        <f t="shared" si="18"/>
        <v>4.551294594667156</v>
      </c>
      <c r="N251" s="34"/>
      <c r="O251" s="13">
        <v>1.05</v>
      </c>
      <c r="P251" s="47">
        <v>6.3</v>
      </c>
    </row>
    <row r="252" spans="1:16" s="13" customFormat="1" ht="19.5">
      <c r="A252" s="14">
        <v>173</v>
      </c>
      <c r="B252" s="210" t="s">
        <v>234</v>
      </c>
      <c r="C252" s="47" t="str">
        <f>'МРСК 2'!C252</f>
        <v>2,5+2,5</v>
      </c>
      <c r="D252" s="47">
        <v>1596</v>
      </c>
      <c r="E252" s="47">
        <v>588</v>
      </c>
      <c r="F252" s="120">
        <f t="shared" si="17"/>
        <v>1.7008703654305932</v>
      </c>
      <c r="G252" s="46">
        <v>0.7906646371233466</v>
      </c>
      <c r="H252" s="16">
        <v>80</v>
      </c>
      <c r="I252" s="46">
        <f t="shared" si="21"/>
        <v>0.9102057283072467</v>
      </c>
      <c r="J252" s="15">
        <v>0</v>
      </c>
      <c r="K252" s="45">
        <f t="shared" si="19"/>
        <v>2.625</v>
      </c>
      <c r="L252" s="105">
        <f t="shared" si="20"/>
        <v>1.7147942716927533</v>
      </c>
      <c r="M252" s="46">
        <f t="shared" si="18"/>
        <v>1.7147942716927533</v>
      </c>
      <c r="N252" s="34"/>
      <c r="O252" s="13">
        <v>1.05</v>
      </c>
      <c r="P252" s="47">
        <v>2.5</v>
      </c>
    </row>
    <row r="253" spans="1:16" s="13" customFormat="1" ht="19.5">
      <c r="A253" s="14">
        <v>174</v>
      </c>
      <c r="B253" s="210" t="s">
        <v>235</v>
      </c>
      <c r="C253" s="47" t="str">
        <f>'МРСК 2'!C253</f>
        <v>4+6,3</v>
      </c>
      <c r="D253" s="47">
        <v>3456</v>
      </c>
      <c r="E253" s="47">
        <v>904</v>
      </c>
      <c r="F253" s="120">
        <f t="shared" si="17"/>
        <v>3.572275465302193</v>
      </c>
      <c r="G253" s="46">
        <v>1.03</v>
      </c>
      <c r="H253" s="16">
        <v>80</v>
      </c>
      <c r="I253" s="46">
        <f t="shared" si="21"/>
        <v>2.5422754653021933</v>
      </c>
      <c r="J253" s="15">
        <v>0</v>
      </c>
      <c r="K253" s="45">
        <f t="shared" si="19"/>
        <v>4.2</v>
      </c>
      <c r="L253" s="105">
        <f t="shared" si="20"/>
        <v>1.657724534697807</v>
      </c>
      <c r="M253" s="46">
        <f t="shared" si="18"/>
        <v>1.657724534697807</v>
      </c>
      <c r="N253" s="34"/>
      <c r="O253" s="13">
        <v>1.05</v>
      </c>
      <c r="P253" s="47">
        <v>4</v>
      </c>
    </row>
    <row r="254" spans="1:16" s="13" customFormat="1" ht="19.5">
      <c r="A254" s="14">
        <v>175</v>
      </c>
      <c r="B254" s="210" t="s">
        <v>236</v>
      </c>
      <c r="C254" s="47" t="str">
        <f>'МРСК 2'!C254</f>
        <v>4+4</v>
      </c>
      <c r="D254" s="47">
        <v>1664</v>
      </c>
      <c r="E254" s="47">
        <v>688</v>
      </c>
      <c r="F254" s="120">
        <f t="shared" si="17"/>
        <v>1.8006221147148005</v>
      </c>
      <c r="G254" s="46">
        <v>1.1284260177094108</v>
      </c>
      <c r="H254" s="16">
        <v>80</v>
      </c>
      <c r="I254" s="46">
        <f t="shared" si="21"/>
        <v>0.6721960970053897</v>
      </c>
      <c r="J254" s="15">
        <v>0</v>
      </c>
      <c r="K254" s="45">
        <f t="shared" si="19"/>
        <v>4.2</v>
      </c>
      <c r="L254" s="105">
        <f t="shared" si="20"/>
        <v>3.52780390299461</v>
      </c>
      <c r="M254" s="46">
        <f t="shared" si="18"/>
        <v>3.52780390299461</v>
      </c>
      <c r="N254" s="34"/>
      <c r="O254" s="13">
        <v>1.05</v>
      </c>
      <c r="P254" s="47">
        <v>4</v>
      </c>
    </row>
    <row r="255" spans="1:16" s="13" customFormat="1" ht="20.25" thickBot="1">
      <c r="A255" s="14">
        <v>176</v>
      </c>
      <c r="B255" s="212" t="s">
        <v>237</v>
      </c>
      <c r="C255" s="19" t="str">
        <f>'МРСК 2'!C255</f>
        <v>2,5+2,5</v>
      </c>
      <c r="D255" s="47">
        <v>504</v>
      </c>
      <c r="E255" s="47">
        <v>264</v>
      </c>
      <c r="F255" s="120">
        <f t="shared" si="17"/>
        <v>0.5689569403742255</v>
      </c>
      <c r="G255" s="20">
        <v>0.14647866738880444</v>
      </c>
      <c r="H255" s="22">
        <v>80</v>
      </c>
      <c r="I255" s="20">
        <f t="shared" si="21"/>
        <v>0.42247827298542107</v>
      </c>
      <c r="J255" s="28">
        <v>0</v>
      </c>
      <c r="K255" s="45">
        <f t="shared" si="19"/>
        <v>2.625</v>
      </c>
      <c r="L255" s="105">
        <f t="shared" si="20"/>
        <v>2.202521727014579</v>
      </c>
      <c r="M255" s="27">
        <f t="shared" si="18"/>
        <v>2.202521727014579</v>
      </c>
      <c r="N255" s="42"/>
      <c r="O255" s="13">
        <v>1.05</v>
      </c>
      <c r="P255" s="26">
        <v>2.5</v>
      </c>
    </row>
    <row r="256" spans="1:15" s="56" customFormat="1" ht="19.5">
      <c r="A256" s="52"/>
      <c r="B256" s="53" t="s">
        <v>238</v>
      </c>
      <c r="C256" s="96">
        <f>'МРСК 2'!C256</f>
        <v>3186.9</v>
      </c>
      <c r="D256" s="96"/>
      <c r="E256" s="96"/>
      <c r="F256" s="121">
        <f>#VALUE!</f>
        <v>1131.8395085788643</v>
      </c>
      <c r="G256" s="94" t="e">
        <f>#VALUE!</f>
        <v>#VALUE!</v>
      </c>
      <c r="H256" s="94"/>
      <c r="I256" s="94" t="e">
        <f>#VALUE!</f>
        <v>#VALUE!</v>
      </c>
      <c r="J256" s="65"/>
      <c r="K256" s="65"/>
      <c r="L256" s="65"/>
      <c r="M256" s="65"/>
      <c r="N256" s="54"/>
      <c r="O256" s="55">
        <v>1.05</v>
      </c>
    </row>
    <row r="257" spans="1:15" s="56" customFormat="1" ht="20.25">
      <c r="A257" s="57"/>
      <c r="B257" s="58" t="s">
        <v>239</v>
      </c>
      <c r="C257" s="59"/>
      <c r="D257" s="59"/>
      <c r="E257" s="59"/>
      <c r="F257" s="122"/>
      <c r="G257" s="66"/>
      <c r="H257" s="66"/>
      <c r="I257" s="66"/>
      <c r="J257" s="66"/>
      <c r="K257" s="66"/>
      <c r="L257" s="67"/>
      <c r="M257" s="68">
        <f>M42+M34+M33+M29+M12</f>
        <v>-2.4489706941946023</v>
      </c>
      <c r="N257" s="60"/>
      <c r="O257" s="55">
        <v>1.05</v>
      </c>
    </row>
    <row r="258" spans="1:15" s="56" customFormat="1" ht="20.25" thickBot="1">
      <c r="A258" s="61"/>
      <c r="B258" s="62" t="s">
        <v>240</v>
      </c>
      <c r="C258" s="63"/>
      <c r="D258" s="63"/>
      <c r="E258" s="63"/>
      <c r="F258" s="123"/>
      <c r="G258" s="69"/>
      <c r="H258" s="69"/>
      <c r="I258" s="69"/>
      <c r="J258" s="69"/>
      <c r="K258" s="69"/>
      <c r="L258" s="69"/>
      <c r="M258" s="70">
        <f>SUM(M9:M255)</f>
        <v>897.8223933613001</v>
      </c>
      <c r="N258" s="64"/>
      <c r="O258" s="55">
        <v>1.05</v>
      </c>
    </row>
    <row r="259" spans="3:11" ht="15.75">
      <c r="C259" s="4"/>
      <c r="D259" s="4"/>
      <c r="E259" s="4"/>
      <c r="F259" s="124"/>
      <c r="G259" s="4"/>
      <c r="H259" s="4"/>
      <c r="I259" s="4"/>
      <c r="J259" s="4"/>
      <c r="K259" s="4"/>
    </row>
    <row r="260" spans="3:11" ht="20.25">
      <c r="C260" s="214"/>
      <c r="D260" s="214"/>
      <c r="E260" s="214"/>
      <c r="F260" s="214"/>
      <c r="G260" s="214"/>
      <c r="H260" s="214"/>
      <c r="I260" s="214"/>
      <c r="J260" s="214"/>
      <c r="K260" s="214"/>
    </row>
  </sheetData>
  <sheetProtection/>
  <mergeCells count="48">
    <mergeCell ref="M154:M156"/>
    <mergeCell ref="M135:M137"/>
    <mergeCell ref="M139:M141"/>
    <mergeCell ref="M122:M124"/>
    <mergeCell ref="M125:M127"/>
    <mergeCell ref="M129:M131"/>
    <mergeCell ref="M144:M146"/>
    <mergeCell ref="M150:M152"/>
    <mergeCell ref="M132:M134"/>
    <mergeCell ref="M75:M77"/>
    <mergeCell ref="M78:M80"/>
    <mergeCell ref="M81:M83"/>
    <mergeCell ref="M85:M87"/>
    <mergeCell ref="M90:M92"/>
    <mergeCell ref="M94:M96"/>
    <mergeCell ref="M97:M99"/>
    <mergeCell ref="M147:M149"/>
    <mergeCell ref="M100:M102"/>
    <mergeCell ref="M103:M105"/>
    <mergeCell ref="M107:M109"/>
    <mergeCell ref="M111:M113"/>
    <mergeCell ref="M114:M116"/>
    <mergeCell ref="M71:M73"/>
    <mergeCell ref="M24:M26"/>
    <mergeCell ref="M52:M54"/>
    <mergeCell ref="M55:M57"/>
    <mergeCell ref="M58:M60"/>
    <mergeCell ref="M61:M63"/>
    <mergeCell ref="M18:M20"/>
    <mergeCell ref="M21:M23"/>
    <mergeCell ref="M65:M67"/>
    <mergeCell ref="M68:M70"/>
    <mergeCell ref="L7:M7"/>
    <mergeCell ref="M9:M11"/>
    <mergeCell ref="M12:M14"/>
    <mergeCell ref="M15:M17"/>
    <mergeCell ref="A2:N2"/>
    <mergeCell ref="L5:M6"/>
    <mergeCell ref="N4:N6"/>
    <mergeCell ref="C4:M4"/>
    <mergeCell ref="A4:A6"/>
    <mergeCell ref="B4:B6"/>
    <mergeCell ref="C5:C6"/>
    <mergeCell ref="G5:H5"/>
    <mergeCell ref="C260:K260"/>
    <mergeCell ref="I5:I6"/>
    <mergeCell ref="J5:J6"/>
    <mergeCell ref="K5:K6"/>
  </mergeCells>
  <conditionalFormatting sqref="M258 M9:M255">
    <cfRule type="cellIs" priority="2" dxfId="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49" r:id="rId1"/>
  <rowBreaks count="1" manualBreakCount="1">
    <brk id="22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T260"/>
  <sheetViews>
    <sheetView view="pageBreakPreview" zoomScale="70" zoomScaleNormal="70" zoomScaleSheetLayoutView="70" zoomScalePageLayoutView="0" workbookViewId="0" topLeftCell="A1">
      <pane ySplit="7" topLeftCell="BM95" activePane="bottomLeft" state="frozen"/>
      <selection pane="topLeft" activeCell="A1" sqref="A1"/>
      <selection pane="bottomLeft" activeCell="B9" sqref="B9:B49"/>
    </sheetView>
  </sheetViews>
  <sheetFormatPr defaultColWidth="9.140625" defaultRowHeight="15"/>
  <cols>
    <col min="1" max="1" width="9.140625" style="1" customWidth="1"/>
    <col min="2" max="2" width="43.28125" style="4" customWidth="1"/>
    <col min="3" max="3" width="23.140625" style="1" customWidth="1"/>
    <col min="4" max="4" width="21.57421875" style="154" customWidth="1"/>
    <col min="5" max="5" width="19.00390625" style="1" customWidth="1"/>
    <col min="6" max="6" width="12.421875" style="5" customWidth="1"/>
    <col min="7" max="7" width="11.00390625" style="5" customWidth="1"/>
    <col min="8" max="8" width="16.421875" style="1" customWidth="1"/>
    <col min="9" max="9" width="19.140625" style="1" customWidth="1"/>
    <col min="10" max="10" width="16.00390625" style="1" customWidth="1"/>
    <col min="11" max="12" width="13.00390625" style="1" customWidth="1"/>
    <col min="13" max="13" width="18.8515625" style="1" customWidth="1"/>
    <col min="14" max="14" width="9.140625" style="1" hidden="1" customWidth="1"/>
    <col min="15" max="15" width="26.00390625" style="1" hidden="1" customWidth="1"/>
    <col min="16" max="16" width="9.140625" style="1" hidden="1" customWidth="1"/>
    <col min="17" max="19" width="9.140625" style="1" customWidth="1"/>
    <col min="20" max="20" width="13.00390625" style="1" bestFit="1" customWidth="1"/>
    <col min="21" max="16384" width="9.140625" style="1" customWidth="1"/>
  </cols>
  <sheetData>
    <row r="2" spans="1:14" ht="25.5" customHeight="1">
      <c r="A2" s="217" t="s">
        <v>36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8"/>
      <c r="M2" s="218"/>
      <c r="N2" s="218"/>
    </row>
    <row r="3" ht="30" customHeight="1" thickBot="1">
      <c r="M3" s="40" t="s">
        <v>287</v>
      </c>
    </row>
    <row r="4" spans="1:14" s="6" customFormat="1" ht="20.25" customHeight="1" thickBot="1">
      <c r="A4" s="227" t="s">
        <v>37</v>
      </c>
      <c r="B4" s="228" t="s">
        <v>38</v>
      </c>
      <c r="C4" s="250" t="s">
        <v>288</v>
      </c>
      <c r="D4" s="251"/>
      <c r="E4" s="251"/>
      <c r="F4" s="251"/>
      <c r="G4" s="251"/>
      <c r="H4" s="251"/>
      <c r="I4" s="251"/>
      <c r="J4" s="251"/>
      <c r="K4" s="251"/>
      <c r="L4" s="252"/>
      <c r="M4" s="241" t="s">
        <v>49</v>
      </c>
      <c r="N4" s="241" t="s">
        <v>0</v>
      </c>
    </row>
    <row r="5" spans="1:14" s="6" customFormat="1" ht="98.25" customHeight="1" thickBot="1">
      <c r="A5" s="215"/>
      <c r="B5" s="216"/>
      <c r="C5" s="216" t="s">
        <v>39</v>
      </c>
      <c r="D5" s="244" t="s">
        <v>289</v>
      </c>
      <c r="E5" s="246" t="s">
        <v>290</v>
      </c>
      <c r="F5" s="248" t="s">
        <v>43</v>
      </c>
      <c r="G5" s="224"/>
      <c r="H5" s="215" t="s">
        <v>45</v>
      </c>
      <c r="I5" s="215" t="s">
        <v>46</v>
      </c>
      <c r="J5" s="216" t="s">
        <v>47</v>
      </c>
      <c r="K5" s="222" t="s">
        <v>48</v>
      </c>
      <c r="L5" s="223"/>
      <c r="M5" s="242"/>
      <c r="N5" s="242"/>
    </row>
    <row r="6" spans="1:14" s="6" customFormat="1" ht="23.25" customHeight="1" thickBot="1">
      <c r="A6" s="215"/>
      <c r="B6" s="229"/>
      <c r="C6" s="216"/>
      <c r="D6" s="245"/>
      <c r="E6" s="247"/>
      <c r="F6" s="25" t="s">
        <v>41</v>
      </c>
      <c r="G6" s="50" t="s">
        <v>44</v>
      </c>
      <c r="H6" s="215"/>
      <c r="I6" s="215"/>
      <c r="J6" s="216"/>
      <c r="K6" s="232"/>
      <c r="L6" s="249"/>
      <c r="M6" s="243"/>
      <c r="N6" s="243"/>
    </row>
    <row r="7" spans="1:13" s="5" customFormat="1" ht="20.25" thickBot="1">
      <c r="A7" s="106">
        <v>1</v>
      </c>
      <c r="B7" s="7">
        <v>2</v>
      </c>
      <c r="C7" s="106">
        <v>3</v>
      </c>
      <c r="D7" s="117">
        <v>4</v>
      </c>
      <c r="E7" s="106">
        <v>5</v>
      </c>
      <c r="F7" s="106">
        <v>6</v>
      </c>
      <c r="G7" s="7">
        <v>7</v>
      </c>
      <c r="H7" s="106">
        <v>8</v>
      </c>
      <c r="I7" s="7">
        <v>9</v>
      </c>
      <c r="J7" s="106">
        <v>10</v>
      </c>
      <c r="K7" s="106">
        <v>11</v>
      </c>
      <c r="L7" s="71">
        <v>12</v>
      </c>
      <c r="M7" s="106">
        <v>13</v>
      </c>
    </row>
    <row r="8" spans="1:13" s="13" customFormat="1" ht="20.25" thickBot="1">
      <c r="A8" s="32" t="s">
        <v>57</v>
      </c>
      <c r="B8" s="107"/>
      <c r="C8" s="107"/>
      <c r="D8" s="118"/>
      <c r="E8" s="107"/>
      <c r="F8" s="107"/>
      <c r="G8" s="107"/>
      <c r="H8" s="107"/>
      <c r="I8" s="107"/>
      <c r="J8" s="107"/>
      <c r="K8" s="107"/>
      <c r="L8" s="107"/>
      <c r="M8" s="108"/>
    </row>
    <row r="9" spans="1:18" s="13" customFormat="1" ht="19.5">
      <c r="A9" s="9">
        <v>1</v>
      </c>
      <c r="B9" s="210" t="s">
        <v>58</v>
      </c>
      <c r="C9" s="10">
        <v>6.3</v>
      </c>
      <c r="D9" s="131">
        <f>Q9</f>
        <v>0</v>
      </c>
      <c r="E9" s="98">
        <f>D9+МРСК!F9</f>
        <v>1.6675041229334338</v>
      </c>
      <c r="F9" s="36">
        <v>1.457</v>
      </c>
      <c r="G9" s="11">
        <v>45</v>
      </c>
      <c r="H9" s="12">
        <f>E9-F9</f>
        <v>0.21050412293343368</v>
      </c>
      <c r="I9" s="12">
        <v>0</v>
      </c>
      <c r="J9" s="12">
        <f>F9</f>
        <v>1.457</v>
      </c>
      <c r="K9" s="104">
        <f aca="true" t="shared" si="0" ref="K9:K49">J9-E9</f>
        <v>-0.21050412293343368</v>
      </c>
      <c r="L9" s="235">
        <f>MIN(K9:K11)</f>
        <v>-0.5794173589107325</v>
      </c>
      <c r="M9" s="41"/>
      <c r="Q9" s="13">
        <v>0</v>
      </c>
      <c r="R9" s="13">
        <v>6.3</v>
      </c>
    </row>
    <row r="10" spans="1:18" s="13" customFormat="1" ht="19.5">
      <c r="A10" s="14"/>
      <c r="B10" s="210" t="s">
        <v>59</v>
      </c>
      <c r="C10" s="8">
        <v>6.3</v>
      </c>
      <c r="D10" s="155">
        <f aca="true" t="shared" si="1" ref="D10:D72">Q10</f>
        <v>0</v>
      </c>
      <c r="E10" s="99">
        <f>D10+МРСК!F10</f>
        <v>0.5947856756849479</v>
      </c>
      <c r="F10" s="33">
        <v>0.958</v>
      </c>
      <c r="G10" s="47"/>
      <c r="H10" s="15">
        <f aca="true" t="shared" si="2" ref="H10:H73">E10-F10</f>
        <v>-0.3632143243150521</v>
      </c>
      <c r="I10" s="15">
        <v>0</v>
      </c>
      <c r="J10" s="15">
        <f aca="true" t="shared" si="3" ref="J10:J49">F10</f>
        <v>0.958</v>
      </c>
      <c r="K10" s="46">
        <f t="shared" si="0"/>
        <v>0.3632143243150521</v>
      </c>
      <c r="L10" s="236"/>
      <c r="M10" s="34"/>
      <c r="Q10" s="13">
        <v>0</v>
      </c>
      <c r="R10" s="13">
        <v>0</v>
      </c>
    </row>
    <row r="11" spans="1:18" s="13" customFormat="1" ht="20.25" thickBot="1">
      <c r="A11" s="74"/>
      <c r="B11" s="210" t="s">
        <v>60</v>
      </c>
      <c r="C11" s="75">
        <v>6.3</v>
      </c>
      <c r="D11" s="156">
        <f t="shared" si="1"/>
        <v>0</v>
      </c>
      <c r="E11" s="100">
        <f>D11+МРСК!F11</f>
        <v>1.0784173589107326</v>
      </c>
      <c r="F11" s="77">
        <v>0.4990000000000001</v>
      </c>
      <c r="G11" s="78"/>
      <c r="H11" s="79">
        <f t="shared" si="2"/>
        <v>0.5794173589107325</v>
      </c>
      <c r="I11" s="79">
        <v>0</v>
      </c>
      <c r="J11" s="79">
        <f t="shared" si="3"/>
        <v>0.4990000000000001</v>
      </c>
      <c r="K11" s="76">
        <f t="shared" si="0"/>
        <v>-0.5794173589107325</v>
      </c>
      <c r="L11" s="237"/>
      <c r="M11" s="81"/>
      <c r="Q11" s="13">
        <v>0</v>
      </c>
      <c r="R11" s="13">
        <v>0</v>
      </c>
    </row>
    <row r="12" spans="1:18" s="13" customFormat="1" ht="20.25" thickTop="1">
      <c r="A12" s="82">
        <v>2</v>
      </c>
      <c r="B12" s="210" t="s">
        <v>61</v>
      </c>
      <c r="C12" s="84">
        <v>6.3</v>
      </c>
      <c r="D12" s="136">
        <f t="shared" si="1"/>
        <v>0</v>
      </c>
      <c r="E12" s="101">
        <f>D12+МРСК!F12</f>
        <v>0.40538993574088644</v>
      </c>
      <c r="F12" s="85">
        <v>0.39</v>
      </c>
      <c r="G12" s="86">
        <v>20</v>
      </c>
      <c r="H12" s="87">
        <f t="shared" si="2"/>
        <v>0.015389935740886429</v>
      </c>
      <c r="I12" s="87">
        <v>0</v>
      </c>
      <c r="J12" s="87">
        <f t="shared" si="3"/>
        <v>0.39</v>
      </c>
      <c r="K12" s="103">
        <f t="shared" si="0"/>
        <v>-0.015389935740886429</v>
      </c>
      <c r="L12" s="238">
        <f>MIN(K12:K14)</f>
        <v>-0.015389935740886429</v>
      </c>
      <c r="M12" s="88"/>
      <c r="Q12" s="13">
        <v>0</v>
      </c>
      <c r="R12" s="13">
        <v>6.3</v>
      </c>
    </row>
    <row r="13" spans="1:18" s="13" customFormat="1" ht="19.5">
      <c r="A13" s="14"/>
      <c r="B13" s="210" t="s">
        <v>59</v>
      </c>
      <c r="C13" s="8">
        <v>6.3</v>
      </c>
      <c r="D13" s="155">
        <f t="shared" si="1"/>
        <v>0</v>
      </c>
      <c r="E13" s="99">
        <f>D13+МРСК!F13</f>
        <v>0</v>
      </c>
      <c r="F13" s="33">
        <v>0</v>
      </c>
      <c r="G13" s="47"/>
      <c r="H13" s="15">
        <f t="shared" si="2"/>
        <v>0</v>
      </c>
      <c r="I13" s="15">
        <v>0</v>
      </c>
      <c r="J13" s="15">
        <f t="shared" si="3"/>
        <v>0</v>
      </c>
      <c r="K13" s="46">
        <f t="shared" si="0"/>
        <v>0</v>
      </c>
      <c r="L13" s="236"/>
      <c r="M13" s="34"/>
      <c r="Q13" s="13">
        <v>0</v>
      </c>
      <c r="R13" s="13">
        <v>0</v>
      </c>
    </row>
    <row r="14" spans="1:18" s="13" customFormat="1" ht="20.25" thickBot="1">
      <c r="A14" s="74"/>
      <c r="B14" s="210" t="s">
        <v>60</v>
      </c>
      <c r="C14" s="75">
        <v>6.3</v>
      </c>
      <c r="D14" s="156">
        <f t="shared" si="1"/>
        <v>0</v>
      </c>
      <c r="E14" s="100">
        <f>D14+МРСК!F14</f>
        <v>0.40538993574088644</v>
      </c>
      <c r="F14" s="77">
        <v>0.39</v>
      </c>
      <c r="G14" s="78"/>
      <c r="H14" s="79">
        <f t="shared" si="2"/>
        <v>0.015389935740886429</v>
      </c>
      <c r="I14" s="79">
        <v>0</v>
      </c>
      <c r="J14" s="79">
        <f t="shared" si="3"/>
        <v>0.39</v>
      </c>
      <c r="K14" s="76">
        <f t="shared" si="0"/>
        <v>-0.015389935740886429</v>
      </c>
      <c r="L14" s="237"/>
      <c r="M14" s="81"/>
      <c r="Q14" s="13">
        <v>0</v>
      </c>
      <c r="R14" s="13">
        <v>0</v>
      </c>
    </row>
    <row r="15" spans="1:18" s="13" customFormat="1" ht="20.25" thickTop="1">
      <c r="A15" s="82">
        <v>3</v>
      </c>
      <c r="B15" s="210" t="s">
        <v>62</v>
      </c>
      <c r="C15" s="84">
        <v>16</v>
      </c>
      <c r="D15" s="136">
        <f t="shared" si="1"/>
        <v>0</v>
      </c>
      <c r="E15" s="101">
        <f>D15+МРСК!F15</f>
        <v>12.23224672740049</v>
      </c>
      <c r="F15" s="85">
        <v>11.607</v>
      </c>
      <c r="G15" s="86">
        <v>120</v>
      </c>
      <c r="H15" s="87">
        <f t="shared" si="2"/>
        <v>0.6252467274004907</v>
      </c>
      <c r="I15" s="87">
        <v>0</v>
      </c>
      <c r="J15" s="87">
        <f t="shared" si="3"/>
        <v>11.607</v>
      </c>
      <c r="K15" s="103">
        <f t="shared" si="0"/>
        <v>-0.6252467274004907</v>
      </c>
      <c r="L15" s="238">
        <f>MIN(K15:K17)</f>
        <v>-0.9052504435536761</v>
      </c>
      <c r="M15" s="88"/>
      <c r="R15" s="13">
        <v>16</v>
      </c>
    </row>
    <row r="16" spans="1:18" s="13" customFormat="1" ht="19.5">
      <c r="A16" s="14"/>
      <c r="B16" s="210" t="s">
        <v>59</v>
      </c>
      <c r="C16" s="8">
        <v>16</v>
      </c>
      <c r="D16" s="155">
        <f t="shared" si="1"/>
        <v>0</v>
      </c>
      <c r="E16" s="99">
        <f>D16+МРСК!F16</f>
        <v>9.511250443553676</v>
      </c>
      <c r="F16" s="33">
        <v>8.606</v>
      </c>
      <c r="G16" s="47"/>
      <c r="H16" s="15">
        <f t="shared" si="2"/>
        <v>0.9052504435536761</v>
      </c>
      <c r="I16" s="15">
        <v>0</v>
      </c>
      <c r="J16" s="15">
        <f t="shared" si="3"/>
        <v>8.606</v>
      </c>
      <c r="K16" s="46">
        <f t="shared" si="0"/>
        <v>-0.9052504435536761</v>
      </c>
      <c r="L16" s="236"/>
      <c r="M16" s="34"/>
      <c r="Q16" s="13">
        <v>0</v>
      </c>
      <c r="R16" s="13">
        <v>0</v>
      </c>
    </row>
    <row r="17" spans="1:18" s="13" customFormat="1" ht="20.25" thickBot="1">
      <c r="A17" s="74"/>
      <c r="B17" s="210" t="s">
        <v>60</v>
      </c>
      <c r="C17" s="75">
        <v>16</v>
      </c>
      <c r="D17" s="156">
        <f t="shared" si="1"/>
        <v>0</v>
      </c>
      <c r="E17" s="100">
        <f>D17+МРСК!F17</f>
        <v>2.825</v>
      </c>
      <c r="F17" s="77">
        <v>3.0009999999999994</v>
      </c>
      <c r="G17" s="78"/>
      <c r="H17" s="79">
        <f t="shared" si="2"/>
        <v>-0.17599999999999927</v>
      </c>
      <c r="I17" s="79">
        <v>0</v>
      </c>
      <c r="J17" s="79">
        <f t="shared" si="3"/>
        <v>3.0009999999999994</v>
      </c>
      <c r="K17" s="76">
        <f t="shared" si="0"/>
        <v>0.17599999999999927</v>
      </c>
      <c r="L17" s="237"/>
      <c r="M17" s="81"/>
      <c r="Q17" s="13">
        <v>0</v>
      </c>
      <c r="R17" s="13">
        <v>0</v>
      </c>
    </row>
    <row r="18" spans="1:18" s="13" customFormat="1" ht="20.25" thickTop="1">
      <c r="A18" s="82">
        <v>4</v>
      </c>
      <c r="B18" s="210" t="s">
        <v>63</v>
      </c>
      <c r="C18" s="84">
        <v>25</v>
      </c>
      <c r="D18" s="136">
        <f t="shared" si="1"/>
        <v>1.267</v>
      </c>
      <c r="E18" s="101">
        <f>D18+МРСК!F18</f>
        <v>7.5801446997514645</v>
      </c>
      <c r="F18" s="85">
        <v>6.679</v>
      </c>
      <c r="G18" s="86">
        <v>120</v>
      </c>
      <c r="H18" s="87">
        <f t="shared" si="2"/>
        <v>0.9011446997514643</v>
      </c>
      <c r="I18" s="87">
        <v>0</v>
      </c>
      <c r="J18" s="87">
        <f t="shared" si="3"/>
        <v>6.679</v>
      </c>
      <c r="K18" s="103">
        <f t="shared" si="0"/>
        <v>-0.9011446997514643</v>
      </c>
      <c r="L18" s="238">
        <f>MIN(K18:K20)</f>
        <v>-0.9011446997514643</v>
      </c>
      <c r="M18" s="88"/>
      <c r="Q18" s="13">
        <f>1.215+0.015+0.037</f>
        <v>1.267</v>
      </c>
      <c r="R18" s="13">
        <v>25</v>
      </c>
    </row>
    <row r="19" spans="1:18" s="13" customFormat="1" ht="19.5">
      <c r="A19" s="14"/>
      <c r="B19" s="210" t="s">
        <v>59</v>
      </c>
      <c r="C19" s="8">
        <v>12.5</v>
      </c>
      <c r="D19" s="155">
        <f t="shared" si="1"/>
        <v>0</v>
      </c>
      <c r="E19" s="99">
        <f>D19+МРСК!F19</f>
        <v>2.269688304591624</v>
      </c>
      <c r="F19" s="33">
        <v>2.022</v>
      </c>
      <c r="G19" s="47"/>
      <c r="H19" s="15">
        <f t="shared" si="2"/>
        <v>0.24768830459162405</v>
      </c>
      <c r="I19" s="15">
        <v>0</v>
      </c>
      <c r="J19" s="15">
        <f t="shared" si="3"/>
        <v>2.022</v>
      </c>
      <c r="K19" s="46">
        <f t="shared" si="0"/>
        <v>-0.24768830459162405</v>
      </c>
      <c r="L19" s="236"/>
      <c r="M19" s="34"/>
      <c r="Q19" s="13">
        <v>0</v>
      </c>
      <c r="R19" s="13">
        <v>0</v>
      </c>
    </row>
    <row r="20" spans="1:18" s="13" customFormat="1" ht="20.25" thickBot="1">
      <c r="A20" s="74"/>
      <c r="B20" s="210" t="s">
        <v>60</v>
      </c>
      <c r="C20" s="75">
        <v>12.5</v>
      </c>
      <c r="D20" s="156">
        <f>D18</f>
        <v>1.267</v>
      </c>
      <c r="E20" s="100">
        <f>D20+МРСК!F20</f>
        <v>5.3104600282431385</v>
      </c>
      <c r="F20" s="77">
        <v>4.657</v>
      </c>
      <c r="G20" s="78"/>
      <c r="H20" s="79">
        <f t="shared" si="2"/>
        <v>0.6534600282431384</v>
      </c>
      <c r="I20" s="79">
        <v>0</v>
      </c>
      <c r="J20" s="79">
        <f t="shared" si="3"/>
        <v>4.657</v>
      </c>
      <c r="K20" s="76">
        <f t="shared" si="0"/>
        <v>-0.6534600282431384</v>
      </c>
      <c r="L20" s="237"/>
      <c r="M20" s="81"/>
      <c r="Q20" s="13">
        <v>0</v>
      </c>
      <c r="R20" s="13">
        <v>0</v>
      </c>
    </row>
    <row r="21" spans="1:18" s="13" customFormat="1" ht="20.25" thickTop="1">
      <c r="A21" s="82">
        <v>5</v>
      </c>
      <c r="B21" s="210" t="s">
        <v>64</v>
      </c>
      <c r="C21" s="84">
        <v>16</v>
      </c>
      <c r="D21" s="136">
        <f>D22+D23</f>
        <v>0.709</v>
      </c>
      <c r="E21" s="101">
        <f>D21+МРСК!F21</f>
        <v>3.3490350376462814</v>
      </c>
      <c r="F21" s="85">
        <v>3.44</v>
      </c>
      <c r="G21" s="86">
        <v>120</v>
      </c>
      <c r="H21" s="87">
        <f t="shared" si="2"/>
        <v>-0.09096496235371854</v>
      </c>
      <c r="I21" s="87">
        <v>0</v>
      </c>
      <c r="J21" s="87">
        <f t="shared" si="3"/>
        <v>3.44</v>
      </c>
      <c r="K21" s="103">
        <f t="shared" si="0"/>
        <v>0.09096496235371854</v>
      </c>
      <c r="L21" s="238">
        <f>MIN(K21:K23)</f>
        <v>0.09096496235371854</v>
      </c>
      <c r="M21" s="88"/>
      <c r="R21" s="13">
        <v>16</v>
      </c>
    </row>
    <row r="22" spans="1:18" s="13" customFormat="1" ht="19.5">
      <c r="A22" s="14"/>
      <c r="B22" s="210" t="s">
        <v>59</v>
      </c>
      <c r="C22" s="8">
        <v>16</v>
      </c>
      <c r="D22" s="155">
        <f t="shared" si="1"/>
        <v>0.614</v>
      </c>
      <c r="E22" s="99">
        <f>D22+МРСК!F22</f>
        <v>0.6480587727318528</v>
      </c>
      <c r="F22" s="33">
        <v>4</v>
      </c>
      <c r="G22" s="47"/>
      <c r="H22" s="15">
        <f t="shared" si="2"/>
        <v>-3.3519412272681475</v>
      </c>
      <c r="I22" s="15">
        <v>0</v>
      </c>
      <c r="J22" s="15">
        <f t="shared" si="3"/>
        <v>4</v>
      </c>
      <c r="K22" s="46">
        <f t="shared" si="0"/>
        <v>3.3519412272681475</v>
      </c>
      <c r="L22" s="236"/>
      <c r="M22" s="34"/>
      <c r="Q22" s="13">
        <v>0.614</v>
      </c>
      <c r="R22" s="13">
        <v>0</v>
      </c>
    </row>
    <row r="23" spans="1:18" s="13" customFormat="1" ht="20.25" thickBot="1">
      <c r="A23" s="74"/>
      <c r="B23" s="210" t="s">
        <v>60</v>
      </c>
      <c r="C23" s="75">
        <v>16</v>
      </c>
      <c r="D23" s="156">
        <f>Q23</f>
        <v>0.095</v>
      </c>
      <c r="E23" s="100">
        <f>D23+МРСК!F23</f>
        <v>2.7207884530174935</v>
      </c>
      <c r="F23" s="77">
        <v>3.44</v>
      </c>
      <c r="G23" s="78"/>
      <c r="H23" s="79">
        <f t="shared" si="2"/>
        <v>-0.7192115469825064</v>
      </c>
      <c r="I23" s="79">
        <v>0</v>
      </c>
      <c r="J23" s="79">
        <f t="shared" si="3"/>
        <v>3.44</v>
      </c>
      <c r="K23" s="76">
        <f t="shared" si="0"/>
        <v>0.7192115469825064</v>
      </c>
      <c r="L23" s="237"/>
      <c r="M23" s="81"/>
      <c r="Q23" s="13">
        <f>0.03+0.02+0.045</f>
        <v>0.095</v>
      </c>
      <c r="R23" s="13">
        <v>0</v>
      </c>
    </row>
    <row r="24" spans="1:18" s="13" customFormat="1" ht="20.25" thickTop="1">
      <c r="A24" s="82">
        <v>6</v>
      </c>
      <c r="B24" s="210" t="s">
        <v>65</v>
      </c>
      <c r="C24" s="84">
        <v>10</v>
      </c>
      <c r="D24" s="136">
        <f t="shared" si="1"/>
        <v>0</v>
      </c>
      <c r="E24" s="101">
        <f>D24+МРСК!F24</f>
        <v>1.2961161213409855</v>
      </c>
      <c r="F24" s="85">
        <v>1.78</v>
      </c>
      <c r="G24" s="86">
        <v>45</v>
      </c>
      <c r="H24" s="87">
        <f t="shared" si="2"/>
        <v>-0.4838838786590145</v>
      </c>
      <c r="I24" s="87">
        <v>0</v>
      </c>
      <c r="J24" s="87">
        <f t="shared" si="3"/>
        <v>1.78</v>
      </c>
      <c r="K24" s="103">
        <f t="shared" si="0"/>
        <v>0.4838838786590145</v>
      </c>
      <c r="L24" s="238">
        <f>MIN(K24:K26)</f>
        <v>0</v>
      </c>
      <c r="M24" s="88"/>
      <c r="Q24" s="13">
        <v>0</v>
      </c>
      <c r="R24" s="13">
        <v>10</v>
      </c>
    </row>
    <row r="25" spans="1:18" s="13" customFormat="1" ht="19.5">
      <c r="A25" s="14"/>
      <c r="B25" s="210" t="s">
        <v>59</v>
      </c>
      <c r="C25" s="8">
        <v>10</v>
      </c>
      <c r="D25" s="155">
        <f t="shared" si="1"/>
        <v>0</v>
      </c>
      <c r="E25" s="99">
        <f>D25+МРСК!F25</f>
        <v>0</v>
      </c>
      <c r="F25" s="33">
        <v>0</v>
      </c>
      <c r="G25" s="47"/>
      <c r="H25" s="15">
        <f t="shared" si="2"/>
        <v>0</v>
      </c>
      <c r="I25" s="15">
        <v>0</v>
      </c>
      <c r="J25" s="15">
        <f t="shared" si="3"/>
        <v>0</v>
      </c>
      <c r="K25" s="46">
        <f t="shared" si="0"/>
        <v>0</v>
      </c>
      <c r="L25" s="236"/>
      <c r="M25" s="34"/>
      <c r="Q25" s="13">
        <v>0</v>
      </c>
      <c r="R25" s="13">
        <v>0</v>
      </c>
    </row>
    <row r="26" spans="1:18" s="13" customFormat="1" ht="20.25" thickBot="1">
      <c r="A26" s="74"/>
      <c r="B26" s="210" t="s">
        <v>66</v>
      </c>
      <c r="C26" s="75">
        <v>10</v>
      </c>
      <c r="D26" s="156">
        <f>D24</f>
        <v>0</v>
      </c>
      <c r="E26" s="100">
        <f>D26+МРСК!F26</f>
        <v>1.2961161213409855</v>
      </c>
      <c r="F26" s="77">
        <v>1.78</v>
      </c>
      <c r="G26" s="78"/>
      <c r="H26" s="79">
        <f t="shared" si="2"/>
        <v>-0.4838838786590145</v>
      </c>
      <c r="I26" s="79">
        <v>0</v>
      </c>
      <c r="J26" s="79">
        <f t="shared" si="3"/>
        <v>1.78</v>
      </c>
      <c r="K26" s="76">
        <f t="shared" si="0"/>
        <v>0.4838838786590145</v>
      </c>
      <c r="L26" s="237"/>
      <c r="M26" s="81"/>
      <c r="Q26" s="13">
        <v>0</v>
      </c>
      <c r="R26" s="13">
        <v>0</v>
      </c>
    </row>
    <row r="27" spans="1:18" s="13" customFormat="1" ht="20.25" thickTop="1">
      <c r="A27" s="14">
        <v>7</v>
      </c>
      <c r="B27" s="210" t="s">
        <v>67</v>
      </c>
      <c r="C27" s="8">
        <v>1.6</v>
      </c>
      <c r="D27" s="155">
        <f t="shared" si="1"/>
        <v>0</v>
      </c>
      <c r="E27" s="99">
        <f>D27+МРСК!F27</f>
        <v>0.9120438585945305</v>
      </c>
      <c r="F27" s="15">
        <v>0.6464</v>
      </c>
      <c r="G27" s="16">
        <v>45</v>
      </c>
      <c r="H27" s="15">
        <f t="shared" si="2"/>
        <v>0.26564385859453055</v>
      </c>
      <c r="I27" s="15">
        <v>0</v>
      </c>
      <c r="J27" s="15">
        <f t="shared" si="3"/>
        <v>0.6464</v>
      </c>
      <c r="K27" s="46">
        <f t="shared" si="0"/>
        <v>-0.26564385859453055</v>
      </c>
      <c r="L27" s="46">
        <f>K27</f>
        <v>-0.26564385859453055</v>
      </c>
      <c r="M27" s="34"/>
      <c r="Q27" s="13">
        <v>0</v>
      </c>
      <c r="R27" s="13">
        <v>1.6</v>
      </c>
    </row>
    <row r="28" spans="1:18" s="13" customFormat="1" ht="19.5">
      <c r="A28" s="14">
        <v>8</v>
      </c>
      <c r="B28" s="210" t="s">
        <v>68</v>
      </c>
      <c r="C28" s="8">
        <v>1.6</v>
      </c>
      <c r="D28" s="155">
        <f t="shared" si="1"/>
        <v>0</v>
      </c>
      <c r="E28" s="99">
        <f>D28+МРСК!F28</f>
        <v>0.6071573107523288</v>
      </c>
      <c r="F28" s="15">
        <v>0.6835</v>
      </c>
      <c r="G28" s="16">
        <v>45</v>
      </c>
      <c r="H28" s="15">
        <f t="shared" si="2"/>
        <v>-0.07634268924767118</v>
      </c>
      <c r="I28" s="15">
        <v>0</v>
      </c>
      <c r="J28" s="15">
        <f t="shared" si="3"/>
        <v>0.6835</v>
      </c>
      <c r="K28" s="46">
        <f t="shared" si="0"/>
        <v>0.07634268924767118</v>
      </c>
      <c r="L28" s="46">
        <f aca="true" t="shared" si="4" ref="L28:L49">K28</f>
        <v>0.07634268924767118</v>
      </c>
      <c r="M28" s="34"/>
      <c r="Q28" s="13">
        <v>0</v>
      </c>
      <c r="R28" s="13">
        <v>1.6</v>
      </c>
    </row>
    <row r="29" spans="1:18" s="13" customFormat="1" ht="19.5">
      <c r="A29" s="14">
        <v>9</v>
      </c>
      <c r="B29" s="210" t="s">
        <v>69</v>
      </c>
      <c r="C29" s="8">
        <v>1.6</v>
      </c>
      <c r="D29" s="155">
        <f t="shared" si="1"/>
        <v>2.083</v>
      </c>
      <c r="E29" s="99">
        <f>D29+МРСК!F29</f>
        <v>2.5743043863024226</v>
      </c>
      <c r="F29" s="15">
        <v>0</v>
      </c>
      <c r="G29" s="16">
        <v>20</v>
      </c>
      <c r="H29" s="15">
        <f t="shared" si="2"/>
        <v>2.5743043863024226</v>
      </c>
      <c r="I29" s="15">
        <v>0</v>
      </c>
      <c r="J29" s="15">
        <f t="shared" si="3"/>
        <v>0</v>
      </c>
      <c r="K29" s="46">
        <f t="shared" si="0"/>
        <v>-2.5743043863024226</v>
      </c>
      <c r="L29" s="46">
        <f t="shared" si="4"/>
        <v>-2.5743043863024226</v>
      </c>
      <c r="M29" s="34"/>
      <c r="Q29" s="13">
        <v>2.083</v>
      </c>
      <c r="R29" s="13">
        <v>1.6</v>
      </c>
    </row>
    <row r="30" spans="1:18" s="13" customFormat="1" ht="19.5">
      <c r="A30" s="14">
        <v>10</v>
      </c>
      <c r="B30" s="210" t="s">
        <v>70</v>
      </c>
      <c r="C30" s="8">
        <v>4</v>
      </c>
      <c r="D30" s="155">
        <f t="shared" si="1"/>
        <v>0.28</v>
      </c>
      <c r="E30" s="99">
        <f>D30+МРСК!F30</f>
        <v>4.336213012158016</v>
      </c>
      <c r="F30" s="15">
        <v>2.64</v>
      </c>
      <c r="G30" s="16">
        <v>80</v>
      </c>
      <c r="H30" s="15">
        <f t="shared" si="2"/>
        <v>1.6962130121580157</v>
      </c>
      <c r="I30" s="15">
        <v>0</v>
      </c>
      <c r="J30" s="15">
        <f t="shared" si="3"/>
        <v>2.64</v>
      </c>
      <c r="K30" s="46">
        <f t="shared" si="0"/>
        <v>-1.6962130121580157</v>
      </c>
      <c r="L30" s="46">
        <f t="shared" si="4"/>
        <v>-1.6962130121580157</v>
      </c>
      <c r="M30" s="34"/>
      <c r="Q30" s="13">
        <f>0.015+0.265</f>
        <v>0.28</v>
      </c>
      <c r="R30" s="13">
        <v>4</v>
      </c>
    </row>
    <row r="31" spans="1:18" s="13" customFormat="1" ht="19.5">
      <c r="A31" s="14">
        <v>11</v>
      </c>
      <c r="B31" s="210" t="s">
        <v>71</v>
      </c>
      <c r="C31" s="8">
        <v>1.6</v>
      </c>
      <c r="D31" s="155">
        <f t="shared" si="1"/>
        <v>0</v>
      </c>
      <c r="E31" s="99">
        <f>D31+МРСК!F31</f>
        <v>0.6610083206738021</v>
      </c>
      <c r="F31" s="15">
        <v>1.05</v>
      </c>
      <c r="G31" s="16">
        <v>80</v>
      </c>
      <c r="H31" s="15">
        <f t="shared" si="2"/>
        <v>-0.38899167932619794</v>
      </c>
      <c r="I31" s="15">
        <v>0</v>
      </c>
      <c r="J31" s="15">
        <f t="shared" si="3"/>
        <v>1.05</v>
      </c>
      <c r="K31" s="46">
        <f t="shared" si="0"/>
        <v>0.38899167932619794</v>
      </c>
      <c r="L31" s="46">
        <f t="shared" si="4"/>
        <v>0.38899167932619794</v>
      </c>
      <c r="M31" s="34"/>
      <c r="Q31" s="13">
        <v>0</v>
      </c>
      <c r="R31" s="13">
        <v>1.6</v>
      </c>
    </row>
    <row r="32" spans="1:18" s="13" customFormat="1" ht="19.5">
      <c r="A32" s="14">
        <v>12</v>
      </c>
      <c r="B32" s="210" t="s">
        <v>72</v>
      </c>
      <c r="C32" s="8">
        <v>1.6</v>
      </c>
      <c r="D32" s="155">
        <f t="shared" si="1"/>
        <v>0.185</v>
      </c>
      <c r="E32" s="99">
        <f>D32+МРСК!F32</f>
        <v>0.2047989898732233</v>
      </c>
      <c r="F32" s="15">
        <v>0</v>
      </c>
      <c r="G32" s="16"/>
      <c r="H32" s="15">
        <f t="shared" si="2"/>
        <v>0.2047989898732233</v>
      </c>
      <c r="I32" s="15">
        <v>0</v>
      </c>
      <c r="J32" s="15">
        <f t="shared" si="3"/>
        <v>0</v>
      </c>
      <c r="K32" s="46">
        <f t="shared" si="0"/>
        <v>-0.2047989898732233</v>
      </c>
      <c r="L32" s="46">
        <f t="shared" si="4"/>
        <v>-0.2047989898732233</v>
      </c>
      <c r="M32" s="34"/>
      <c r="Q32" s="13">
        <f>0.185</f>
        <v>0.185</v>
      </c>
      <c r="R32" s="13">
        <v>1.6</v>
      </c>
    </row>
    <row r="33" spans="1:18" s="13" customFormat="1" ht="19.5">
      <c r="A33" s="14">
        <v>13</v>
      </c>
      <c r="B33" s="210" t="s">
        <v>73</v>
      </c>
      <c r="C33" s="8">
        <v>2.5</v>
      </c>
      <c r="D33" s="155">
        <f t="shared" si="1"/>
        <v>0</v>
      </c>
      <c r="E33" s="99">
        <f>D33+МРСК!F33</f>
        <v>0.3770198933743417</v>
      </c>
      <c r="F33" s="15">
        <v>0</v>
      </c>
      <c r="G33" s="16"/>
      <c r="H33" s="15">
        <f t="shared" si="2"/>
        <v>0.3770198933743417</v>
      </c>
      <c r="I33" s="15">
        <v>0</v>
      </c>
      <c r="J33" s="15">
        <f t="shared" si="3"/>
        <v>0</v>
      </c>
      <c r="K33" s="46">
        <f t="shared" si="0"/>
        <v>-0.3770198933743417</v>
      </c>
      <c r="L33" s="46">
        <f t="shared" si="4"/>
        <v>-0.3770198933743417</v>
      </c>
      <c r="M33" s="34"/>
      <c r="Q33" s="13">
        <v>0</v>
      </c>
      <c r="R33" s="13">
        <v>2.5</v>
      </c>
    </row>
    <row r="34" spans="1:18" s="13" customFormat="1" ht="19.5">
      <c r="A34" s="14">
        <v>14</v>
      </c>
      <c r="B34" s="210" t="s">
        <v>74</v>
      </c>
      <c r="C34" s="8">
        <v>2.5</v>
      </c>
      <c r="D34" s="155">
        <f t="shared" si="1"/>
        <v>0</v>
      </c>
      <c r="E34" s="99">
        <f>D34+МРСК!F34</f>
        <v>1.0666433330781195</v>
      </c>
      <c r="F34" s="15">
        <v>0.541</v>
      </c>
      <c r="G34" s="16">
        <v>45</v>
      </c>
      <c r="H34" s="15">
        <f t="shared" si="2"/>
        <v>0.5256433330781195</v>
      </c>
      <c r="I34" s="15">
        <v>0</v>
      </c>
      <c r="J34" s="15">
        <f t="shared" si="3"/>
        <v>0.541</v>
      </c>
      <c r="K34" s="46">
        <f t="shared" si="0"/>
        <v>-0.5256433330781195</v>
      </c>
      <c r="L34" s="46">
        <f t="shared" si="4"/>
        <v>-0.5256433330781195</v>
      </c>
      <c r="M34" s="34"/>
      <c r="Q34" s="13">
        <v>0</v>
      </c>
      <c r="R34" s="13">
        <v>2.5</v>
      </c>
    </row>
    <row r="35" spans="1:18" s="13" customFormat="1" ht="19.5">
      <c r="A35" s="14">
        <v>15</v>
      </c>
      <c r="B35" s="210" t="s">
        <v>75</v>
      </c>
      <c r="C35" s="8">
        <v>2.5</v>
      </c>
      <c r="D35" s="155">
        <f t="shared" si="1"/>
        <v>0.025</v>
      </c>
      <c r="E35" s="99">
        <f>D35+МРСК!F35</f>
        <v>2.120083769208286</v>
      </c>
      <c r="F35" s="15">
        <v>1.6626</v>
      </c>
      <c r="G35" s="16">
        <v>45</v>
      </c>
      <c r="H35" s="15">
        <f t="shared" si="2"/>
        <v>0.45748376920828604</v>
      </c>
      <c r="I35" s="15">
        <v>0</v>
      </c>
      <c r="J35" s="15">
        <f t="shared" si="3"/>
        <v>1.6626</v>
      </c>
      <c r="K35" s="46">
        <f t="shared" si="0"/>
        <v>-0.45748376920828604</v>
      </c>
      <c r="L35" s="46">
        <f t="shared" si="4"/>
        <v>-0.45748376920828604</v>
      </c>
      <c r="M35" s="34"/>
      <c r="Q35" s="13">
        <f>0.015+0.01</f>
        <v>0.025</v>
      </c>
      <c r="R35" s="13">
        <v>2.5</v>
      </c>
    </row>
    <row r="36" spans="1:18" s="13" customFormat="1" ht="19.5">
      <c r="A36" s="14">
        <v>16</v>
      </c>
      <c r="B36" s="210" t="s">
        <v>76</v>
      </c>
      <c r="C36" s="8">
        <v>2.5</v>
      </c>
      <c r="D36" s="155">
        <f t="shared" si="1"/>
        <v>0</v>
      </c>
      <c r="E36" s="99">
        <f>D36+МРСК!F36</f>
        <v>1.6586500535073696</v>
      </c>
      <c r="F36" s="15">
        <v>1.55</v>
      </c>
      <c r="G36" s="16">
        <v>45</v>
      </c>
      <c r="H36" s="15">
        <f t="shared" si="2"/>
        <v>0.10865005350736956</v>
      </c>
      <c r="I36" s="15">
        <v>0</v>
      </c>
      <c r="J36" s="15">
        <f t="shared" si="3"/>
        <v>1.55</v>
      </c>
      <c r="K36" s="46">
        <f t="shared" si="0"/>
        <v>-0.10865005350736956</v>
      </c>
      <c r="L36" s="46">
        <f t="shared" si="4"/>
        <v>-0.10865005350736956</v>
      </c>
      <c r="M36" s="34"/>
      <c r="Q36" s="13">
        <v>0</v>
      </c>
      <c r="R36" s="13">
        <v>2.5</v>
      </c>
    </row>
    <row r="37" spans="1:18" s="13" customFormat="1" ht="19.5">
      <c r="A37" s="14">
        <v>17</v>
      </c>
      <c r="B37" s="210" t="s">
        <v>77</v>
      </c>
      <c r="C37" s="8">
        <v>1.6</v>
      </c>
      <c r="D37" s="155">
        <f t="shared" si="1"/>
        <v>0</v>
      </c>
      <c r="E37" s="99">
        <f>D37+МРСК!F37</f>
        <v>0.4101121797752415</v>
      </c>
      <c r="F37" s="15">
        <v>0.4101</v>
      </c>
      <c r="G37" s="16">
        <v>80</v>
      </c>
      <c r="H37" s="15">
        <f t="shared" si="2"/>
        <v>1.217977524148317E-05</v>
      </c>
      <c r="I37" s="15">
        <v>0</v>
      </c>
      <c r="J37" s="15">
        <f t="shared" si="3"/>
        <v>0.4101</v>
      </c>
      <c r="K37" s="46">
        <f t="shared" si="0"/>
        <v>-1.217977524148317E-05</v>
      </c>
      <c r="L37" s="46">
        <f t="shared" si="4"/>
        <v>-1.217977524148317E-05</v>
      </c>
      <c r="M37" s="34"/>
      <c r="Q37" s="13">
        <v>0</v>
      </c>
      <c r="R37" s="13">
        <v>1.6</v>
      </c>
    </row>
    <row r="38" spans="1:18" s="13" customFormat="1" ht="19.5">
      <c r="A38" s="14">
        <v>18</v>
      </c>
      <c r="B38" s="210" t="s">
        <v>78</v>
      </c>
      <c r="C38" s="8">
        <v>2.5</v>
      </c>
      <c r="D38" s="155">
        <f t="shared" si="1"/>
        <v>0</v>
      </c>
      <c r="E38" s="99">
        <f>D38+МРСК!F38</f>
        <v>0.416</v>
      </c>
      <c r="F38" s="15">
        <v>0.407</v>
      </c>
      <c r="G38" s="16">
        <v>20</v>
      </c>
      <c r="H38" s="15">
        <f t="shared" si="2"/>
        <v>0.009000000000000008</v>
      </c>
      <c r="I38" s="15">
        <v>0</v>
      </c>
      <c r="J38" s="15">
        <f t="shared" si="3"/>
        <v>0.407</v>
      </c>
      <c r="K38" s="46">
        <f t="shared" si="0"/>
        <v>-0.009000000000000008</v>
      </c>
      <c r="L38" s="46">
        <f t="shared" si="4"/>
        <v>-0.009000000000000008</v>
      </c>
      <c r="M38" s="34"/>
      <c r="Q38" s="13">
        <v>0</v>
      </c>
      <c r="R38" s="13">
        <v>2.5</v>
      </c>
    </row>
    <row r="39" spans="1:18" s="13" customFormat="1" ht="19.5">
      <c r="A39" s="14">
        <v>19</v>
      </c>
      <c r="B39" s="210" t="s">
        <v>79</v>
      </c>
      <c r="C39" s="8">
        <v>2.5</v>
      </c>
      <c r="D39" s="155">
        <f t="shared" si="1"/>
        <v>0.014</v>
      </c>
      <c r="E39" s="99">
        <f>D39+МРСК!F39</f>
        <v>1.4629720494198637</v>
      </c>
      <c r="F39" s="15">
        <v>1.38</v>
      </c>
      <c r="G39" s="16">
        <v>120</v>
      </c>
      <c r="H39" s="15">
        <f t="shared" si="2"/>
        <v>0.0829720494198638</v>
      </c>
      <c r="I39" s="15">
        <v>0</v>
      </c>
      <c r="J39" s="15">
        <f t="shared" si="3"/>
        <v>1.38</v>
      </c>
      <c r="K39" s="46">
        <f t="shared" si="0"/>
        <v>-0.0829720494198638</v>
      </c>
      <c r="L39" s="46">
        <f t="shared" si="4"/>
        <v>-0.0829720494198638</v>
      </c>
      <c r="M39" s="34"/>
      <c r="Q39" s="13">
        <v>0.014</v>
      </c>
      <c r="R39" s="13">
        <v>2.5</v>
      </c>
    </row>
    <row r="40" spans="1:18" s="13" customFormat="1" ht="19.5">
      <c r="A40" s="14">
        <v>20</v>
      </c>
      <c r="B40" s="210" t="s">
        <v>80</v>
      </c>
      <c r="C40" s="8">
        <v>2.5</v>
      </c>
      <c r="D40" s="155">
        <f t="shared" si="1"/>
        <v>0</v>
      </c>
      <c r="E40" s="99">
        <f>D40+МРСК!F40</f>
        <v>1.4041082579345512</v>
      </c>
      <c r="F40" s="15">
        <v>1.54</v>
      </c>
      <c r="G40" s="16">
        <v>45</v>
      </c>
      <c r="H40" s="15">
        <f t="shared" si="2"/>
        <v>-0.13589174206544885</v>
      </c>
      <c r="I40" s="15">
        <v>0</v>
      </c>
      <c r="J40" s="15">
        <f t="shared" si="3"/>
        <v>1.54</v>
      </c>
      <c r="K40" s="46">
        <f t="shared" si="0"/>
        <v>0.13589174206544885</v>
      </c>
      <c r="L40" s="46">
        <f t="shared" si="4"/>
        <v>0.13589174206544885</v>
      </c>
      <c r="M40" s="34"/>
      <c r="Q40" s="13">
        <v>0</v>
      </c>
      <c r="R40" s="13">
        <v>2.5</v>
      </c>
    </row>
    <row r="41" spans="1:18" s="13" customFormat="1" ht="19.5">
      <c r="A41" s="14">
        <v>21</v>
      </c>
      <c r="B41" s="210" t="s">
        <v>81</v>
      </c>
      <c r="C41" s="8">
        <v>2.5</v>
      </c>
      <c r="D41" s="155">
        <f t="shared" si="1"/>
        <v>0</v>
      </c>
      <c r="E41" s="99">
        <f>D41+МРСК!F41</f>
        <v>0.7237679186037469</v>
      </c>
      <c r="F41" s="15">
        <v>0.6647</v>
      </c>
      <c r="G41" s="16">
        <v>45</v>
      </c>
      <c r="H41" s="15">
        <f t="shared" si="2"/>
        <v>0.05906791860374694</v>
      </c>
      <c r="I41" s="15">
        <v>0</v>
      </c>
      <c r="J41" s="15">
        <f t="shared" si="3"/>
        <v>0.6647</v>
      </c>
      <c r="K41" s="46">
        <f t="shared" si="0"/>
        <v>-0.05906791860374694</v>
      </c>
      <c r="L41" s="46">
        <f t="shared" si="4"/>
        <v>-0.05906791860374694</v>
      </c>
      <c r="M41" s="34"/>
      <c r="Q41" s="13">
        <v>0</v>
      </c>
      <c r="R41" s="13">
        <v>2.5</v>
      </c>
    </row>
    <row r="42" spans="1:18" s="13" customFormat="1" ht="19.5">
      <c r="A42" s="14">
        <v>22</v>
      </c>
      <c r="B42" s="210" t="s">
        <v>82</v>
      </c>
      <c r="C42" s="8">
        <v>4</v>
      </c>
      <c r="D42" s="155">
        <f t="shared" si="1"/>
        <v>0.2421</v>
      </c>
      <c r="E42" s="99">
        <f>D42+МРСК!F42</f>
        <v>2.0617131456988322</v>
      </c>
      <c r="F42" s="15">
        <v>0.78</v>
      </c>
      <c r="G42" s="16">
        <v>120</v>
      </c>
      <c r="H42" s="15">
        <f t="shared" si="2"/>
        <v>1.2817131456988322</v>
      </c>
      <c r="I42" s="15">
        <v>0</v>
      </c>
      <c r="J42" s="15">
        <f t="shared" si="3"/>
        <v>0.78</v>
      </c>
      <c r="K42" s="46">
        <f t="shared" si="0"/>
        <v>-1.2817131456988322</v>
      </c>
      <c r="L42" s="46">
        <f t="shared" si="4"/>
        <v>-1.2817131456988322</v>
      </c>
      <c r="M42" s="34"/>
      <c r="Q42" s="13">
        <f>0.014+0.2281</f>
        <v>0.2421</v>
      </c>
      <c r="R42" s="13">
        <v>4</v>
      </c>
    </row>
    <row r="43" spans="1:18" s="13" customFormat="1" ht="19.5">
      <c r="A43" s="14">
        <v>23</v>
      </c>
      <c r="B43" s="210" t="s">
        <v>83</v>
      </c>
      <c r="C43" s="8">
        <v>4</v>
      </c>
      <c r="D43" s="155">
        <f t="shared" si="1"/>
        <v>0.013</v>
      </c>
      <c r="E43" s="99">
        <f>D43+МРСК!F43</f>
        <v>0.7819369284928381</v>
      </c>
      <c r="F43" s="15">
        <v>0.722</v>
      </c>
      <c r="G43" s="16">
        <v>45</v>
      </c>
      <c r="H43" s="15">
        <f t="shared" si="2"/>
        <v>0.05993692849283816</v>
      </c>
      <c r="I43" s="15">
        <v>0</v>
      </c>
      <c r="J43" s="15">
        <f t="shared" si="3"/>
        <v>0.722</v>
      </c>
      <c r="K43" s="46">
        <f t="shared" si="0"/>
        <v>-0.05993692849283816</v>
      </c>
      <c r="L43" s="46">
        <f t="shared" si="4"/>
        <v>-0.05993692849283816</v>
      </c>
      <c r="M43" s="34"/>
      <c r="Q43" s="13">
        <v>0.013</v>
      </c>
      <c r="R43" s="13">
        <v>4</v>
      </c>
    </row>
    <row r="44" spans="1:18" s="13" customFormat="1" ht="19.5">
      <c r="A44" s="14">
        <v>24</v>
      </c>
      <c r="B44" s="210" t="s">
        <v>84</v>
      </c>
      <c r="C44" s="8">
        <v>4</v>
      </c>
      <c r="D44" s="155">
        <f t="shared" si="1"/>
        <v>0.035</v>
      </c>
      <c r="E44" s="99">
        <f>D44+МРСК!F44</f>
        <v>2.593965611335956</v>
      </c>
      <c r="F44" s="15">
        <v>1.84</v>
      </c>
      <c r="G44" s="16">
        <v>80</v>
      </c>
      <c r="H44" s="15">
        <f t="shared" si="2"/>
        <v>0.7539656113359559</v>
      </c>
      <c r="I44" s="15">
        <v>0</v>
      </c>
      <c r="J44" s="15">
        <f t="shared" si="3"/>
        <v>1.84</v>
      </c>
      <c r="K44" s="46">
        <f t="shared" si="0"/>
        <v>-0.7539656113359559</v>
      </c>
      <c r="L44" s="46">
        <f t="shared" si="4"/>
        <v>-0.7539656113359559</v>
      </c>
      <c r="M44" s="34"/>
      <c r="Q44" s="13">
        <v>0.035</v>
      </c>
      <c r="R44" s="13">
        <v>4</v>
      </c>
    </row>
    <row r="45" spans="1:18" s="13" customFormat="1" ht="19.5">
      <c r="A45" s="14">
        <v>25</v>
      </c>
      <c r="B45" s="210" t="s">
        <v>85</v>
      </c>
      <c r="C45" s="8">
        <v>2.5</v>
      </c>
      <c r="D45" s="155">
        <f t="shared" si="1"/>
        <v>0</v>
      </c>
      <c r="E45" s="99">
        <f>D45+МРСК!F45</f>
        <v>0.17786792853125602</v>
      </c>
      <c r="F45" s="15">
        <v>1.676</v>
      </c>
      <c r="G45" s="16">
        <v>80</v>
      </c>
      <c r="H45" s="15">
        <f t="shared" si="2"/>
        <v>-1.4981320714687438</v>
      </c>
      <c r="I45" s="15">
        <v>0</v>
      </c>
      <c r="J45" s="15">
        <f t="shared" si="3"/>
        <v>1.676</v>
      </c>
      <c r="K45" s="46">
        <f t="shared" si="0"/>
        <v>1.4981320714687438</v>
      </c>
      <c r="L45" s="46">
        <f t="shared" si="4"/>
        <v>1.4981320714687438</v>
      </c>
      <c r="M45" s="34"/>
      <c r="Q45" s="13">
        <v>0</v>
      </c>
      <c r="R45" s="13">
        <v>2.5</v>
      </c>
    </row>
    <row r="46" spans="1:18" s="13" customFormat="1" ht="19.5">
      <c r="A46" s="14">
        <v>26</v>
      </c>
      <c r="B46" s="210" t="s">
        <v>86</v>
      </c>
      <c r="C46" s="8">
        <v>2.5</v>
      </c>
      <c r="D46" s="155">
        <f t="shared" si="1"/>
        <v>0.035</v>
      </c>
      <c r="E46" s="99">
        <f>D46+МРСК!F46</f>
        <v>0.7219293995746578</v>
      </c>
      <c r="F46" s="15">
        <v>0.6872</v>
      </c>
      <c r="G46" s="16">
        <v>45</v>
      </c>
      <c r="H46" s="15">
        <f t="shared" si="2"/>
        <v>0.034729399574657815</v>
      </c>
      <c r="I46" s="15">
        <v>0</v>
      </c>
      <c r="J46" s="15">
        <f t="shared" si="3"/>
        <v>0.6872</v>
      </c>
      <c r="K46" s="46">
        <f t="shared" si="0"/>
        <v>-0.034729399574657815</v>
      </c>
      <c r="L46" s="46">
        <f t="shared" si="4"/>
        <v>-0.034729399574657815</v>
      </c>
      <c r="M46" s="34"/>
      <c r="Q46" s="13">
        <f>0.015+0.01+0.01</f>
        <v>0.035</v>
      </c>
      <c r="R46" s="13">
        <v>2.5</v>
      </c>
    </row>
    <row r="47" spans="1:18" s="13" customFormat="1" ht="19.5">
      <c r="A47" s="14">
        <v>27</v>
      </c>
      <c r="B47" s="210" t="s">
        <v>87</v>
      </c>
      <c r="C47" s="8">
        <v>2.5</v>
      </c>
      <c r="D47" s="155">
        <f t="shared" si="1"/>
        <v>0</v>
      </c>
      <c r="E47" s="99">
        <f>D47+МРСК!F47</f>
        <v>0.7299863012413315</v>
      </c>
      <c r="F47" s="15">
        <v>0.7238</v>
      </c>
      <c r="G47" s="16">
        <v>120</v>
      </c>
      <c r="H47" s="15">
        <f t="shared" si="2"/>
        <v>0.00618630124133146</v>
      </c>
      <c r="I47" s="15">
        <v>0</v>
      </c>
      <c r="J47" s="15">
        <f t="shared" si="3"/>
        <v>0.7238</v>
      </c>
      <c r="K47" s="46">
        <f t="shared" si="0"/>
        <v>-0.00618630124133146</v>
      </c>
      <c r="L47" s="46">
        <f t="shared" si="4"/>
        <v>-0.00618630124133146</v>
      </c>
      <c r="M47" s="34"/>
      <c r="Q47" s="13">
        <v>0</v>
      </c>
      <c r="R47" s="13">
        <v>2.5</v>
      </c>
    </row>
    <row r="48" spans="1:18" s="13" customFormat="1" ht="19.5">
      <c r="A48" s="14">
        <v>28</v>
      </c>
      <c r="B48" s="210" t="s">
        <v>89</v>
      </c>
      <c r="C48" s="8">
        <v>2.5</v>
      </c>
      <c r="D48" s="155">
        <f t="shared" si="1"/>
        <v>0</v>
      </c>
      <c r="E48" s="99">
        <f>D48+МРСК!F48</f>
        <v>0.7266470945376442</v>
      </c>
      <c r="F48" s="15">
        <v>0.6797</v>
      </c>
      <c r="G48" s="16">
        <v>120</v>
      </c>
      <c r="H48" s="15">
        <f t="shared" si="2"/>
        <v>0.04694709453764423</v>
      </c>
      <c r="I48" s="15">
        <v>0</v>
      </c>
      <c r="J48" s="15">
        <f t="shared" si="3"/>
        <v>0.6797</v>
      </c>
      <c r="K48" s="46">
        <f t="shared" si="0"/>
        <v>-0.04694709453764423</v>
      </c>
      <c r="L48" s="46">
        <f t="shared" si="4"/>
        <v>-0.04694709453764423</v>
      </c>
      <c r="M48" s="34"/>
      <c r="Q48" s="13">
        <v>0</v>
      </c>
      <c r="R48" s="13">
        <v>2.5</v>
      </c>
    </row>
    <row r="49" spans="1:18" s="13" customFormat="1" ht="20.25" thickBot="1">
      <c r="A49" s="39">
        <v>29</v>
      </c>
      <c r="B49" s="210" t="s">
        <v>88</v>
      </c>
      <c r="C49" s="111">
        <v>2.5</v>
      </c>
      <c r="D49" s="157">
        <f t="shared" si="1"/>
        <v>0</v>
      </c>
      <c r="E49" s="112">
        <f>D49+МРСК!F49</f>
        <v>1.1486896882970614</v>
      </c>
      <c r="F49" s="28">
        <v>1</v>
      </c>
      <c r="G49" s="110">
        <v>80</v>
      </c>
      <c r="H49" s="28">
        <f t="shared" si="2"/>
        <v>0.14868968829706142</v>
      </c>
      <c r="I49" s="28">
        <v>0</v>
      </c>
      <c r="J49" s="28">
        <f t="shared" si="3"/>
        <v>1</v>
      </c>
      <c r="K49" s="27">
        <f t="shared" si="0"/>
        <v>-0.14868968829706142</v>
      </c>
      <c r="L49" s="27">
        <f t="shared" si="4"/>
        <v>-0.14868968829706142</v>
      </c>
      <c r="M49" s="42"/>
      <c r="Q49" s="13">
        <v>0</v>
      </c>
      <c r="R49" s="13">
        <v>2.5</v>
      </c>
    </row>
    <row r="50" spans="1:18" s="13" customFormat="1" ht="21" thickBot="1">
      <c r="A50" s="32" t="s">
        <v>90</v>
      </c>
      <c r="B50" s="107"/>
      <c r="C50" s="107"/>
      <c r="D50" s="118"/>
      <c r="E50" s="113"/>
      <c r="F50" s="107"/>
      <c r="G50" s="107"/>
      <c r="H50" s="107"/>
      <c r="I50" s="107"/>
      <c r="J50" s="107"/>
      <c r="K50" s="107"/>
      <c r="L50" s="107"/>
      <c r="M50" s="108"/>
      <c r="Q50" s="13">
        <v>0</v>
      </c>
      <c r="R50" s="114">
        <f>SUM(R9:R49)</f>
        <v>137.69999999999996</v>
      </c>
    </row>
    <row r="51" spans="1:20" s="13" customFormat="1" ht="39.75" thickBot="1">
      <c r="A51" s="37">
        <v>30</v>
      </c>
      <c r="B51" s="210" t="s">
        <v>91</v>
      </c>
      <c r="C51" s="30" t="s">
        <v>4</v>
      </c>
      <c r="D51" s="143">
        <f>Q51</f>
        <v>0.952</v>
      </c>
      <c r="E51" s="31">
        <f>D51+МРСК!F51</f>
        <v>16.441325905280706</v>
      </c>
      <c r="F51" s="105">
        <v>3.561</v>
      </c>
      <c r="G51" s="43">
        <v>45</v>
      </c>
      <c r="H51" s="46">
        <f t="shared" si="2"/>
        <v>12.880325905280706</v>
      </c>
      <c r="I51" s="31">
        <v>0</v>
      </c>
      <c r="J51" s="45">
        <f>МРСК!K51</f>
        <v>16.8</v>
      </c>
      <c r="K51" s="105">
        <f>J51-I51-H51</f>
        <v>3.9196740947192943</v>
      </c>
      <c r="L51" s="105">
        <f>K51</f>
        <v>3.9196740947192943</v>
      </c>
      <c r="M51" s="44"/>
      <c r="N51" s="13">
        <v>1.05</v>
      </c>
      <c r="O51" s="30">
        <v>16</v>
      </c>
      <c r="Q51" s="13">
        <f>0.5+0.424+0.028</f>
        <v>0.952</v>
      </c>
      <c r="R51" s="13" t="s">
        <v>4</v>
      </c>
      <c r="T51" s="13">
        <f>16+16</f>
        <v>32</v>
      </c>
    </row>
    <row r="52" spans="1:20" s="13" customFormat="1" ht="20.25" thickTop="1">
      <c r="A52" s="82">
        <v>31</v>
      </c>
      <c r="B52" s="210" t="s">
        <v>92</v>
      </c>
      <c r="C52" s="84" t="s">
        <v>9</v>
      </c>
      <c r="D52" s="136">
        <f t="shared" si="1"/>
        <v>0.03</v>
      </c>
      <c r="E52" s="101">
        <f>D52+МРСК!F52</f>
        <v>9.833074670734687</v>
      </c>
      <c r="F52" s="85">
        <v>8.95</v>
      </c>
      <c r="G52" s="86">
        <v>120</v>
      </c>
      <c r="H52" s="87">
        <f t="shared" si="2"/>
        <v>0.8830746707346879</v>
      </c>
      <c r="I52" s="87">
        <v>0</v>
      </c>
      <c r="J52" s="87">
        <f>МРСК!K52</f>
        <v>10.5</v>
      </c>
      <c r="K52" s="103">
        <f aca="true" t="shared" si="5" ref="K52:K109">J52-I52-H52</f>
        <v>9.616925329265312</v>
      </c>
      <c r="L52" s="238">
        <f>MIN(K52:K54)</f>
        <v>9.616925329265312</v>
      </c>
      <c r="M52" s="88"/>
      <c r="N52" s="13">
        <v>1.05</v>
      </c>
      <c r="O52" s="47">
        <v>10</v>
      </c>
      <c r="Q52" s="13">
        <v>0.03</v>
      </c>
      <c r="R52" s="13" t="s">
        <v>9</v>
      </c>
      <c r="T52" s="13">
        <v>26</v>
      </c>
    </row>
    <row r="53" spans="1:18" s="13" customFormat="1" ht="19.5">
      <c r="A53" s="14"/>
      <c r="B53" s="210" t="s">
        <v>59</v>
      </c>
      <c r="C53" s="8" t="s">
        <v>9</v>
      </c>
      <c r="D53" s="155">
        <f t="shared" si="1"/>
        <v>0</v>
      </c>
      <c r="E53" s="99">
        <f>D53+МРСК!F53</f>
        <v>8.148432303210232</v>
      </c>
      <c r="F53" s="33">
        <v>7.29</v>
      </c>
      <c r="G53" s="47"/>
      <c r="H53" s="15">
        <f t="shared" si="2"/>
        <v>0.8584323032102317</v>
      </c>
      <c r="I53" s="15">
        <v>0</v>
      </c>
      <c r="J53" s="15">
        <f>МРСК!K53</f>
        <v>10.5</v>
      </c>
      <c r="K53" s="46">
        <f t="shared" si="5"/>
        <v>9.641567696789767</v>
      </c>
      <c r="L53" s="236"/>
      <c r="M53" s="34"/>
      <c r="N53" s="13">
        <v>1.05</v>
      </c>
      <c r="O53" s="47">
        <v>10</v>
      </c>
      <c r="Q53" s="13">
        <v>0</v>
      </c>
      <c r="R53" s="13">
        <v>0</v>
      </c>
    </row>
    <row r="54" spans="1:18" s="13" customFormat="1" ht="20.25" thickBot="1">
      <c r="A54" s="74"/>
      <c r="B54" s="210" t="s">
        <v>60</v>
      </c>
      <c r="C54" s="75" t="s">
        <v>9</v>
      </c>
      <c r="D54" s="156">
        <f>D52</f>
        <v>0.03</v>
      </c>
      <c r="E54" s="100">
        <f>D54+МРСК!F54</f>
        <v>1.686406954827225</v>
      </c>
      <c r="F54" s="77">
        <v>1.6599999999999993</v>
      </c>
      <c r="G54" s="78"/>
      <c r="H54" s="79">
        <f t="shared" si="2"/>
        <v>0.02640695482722566</v>
      </c>
      <c r="I54" s="79">
        <v>0</v>
      </c>
      <c r="J54" s="79">
        <f>МРСК!K54</f>
        <v>10.5</v>
      </c>
      <c r="K54" s="76">
        <f t="shared" si="5"/>
        <v>10.473593045172775</v>
      </c>
      <c r="L54" s="237"/>
      <c r="M54" s="81"/>
      <c r="N54" s="13">
        <v>1.05</v>
      </c>
      <c r="O54" s="47">
        <v>10</v>
      </c>
      <c r="Q54" s="13">
        <v>0</v>
      </c>
      <c r="R54" s="13">
        <v>0</v>
      </c>
    </row>
    <row r="55" spans="1:20" s="13" customFormat="1" ht="20.25" thickTop="1">
      <c r="A55" s="82">
        <v>32</v>
      </c>
      <c r="B55" s="210" t="s">
        <v>93</v>
      </c>
      <c r="C55" s="84" t="s">
        <v>4</v>
      </c>
      <c r="D55" s="136">
        <f t="shared" si="1"/>
        <v>12.321399999999999</v>
      </c>
      <c r="E55" s="101">
        <f>D55+МРСК!F55</f>
        <v>25.452927748133497</v>
      </c>
      <c r="F55" s="85">
        <v>8.37</v>
      </c>
      <c r="G55" s="86">
        <v>80</v>
      </c>
      <c r="H55" s="87">
        <f t="shared" si="2"/>
        <v>17.0829277481335</v>
      </c>
      <c r="I55" s="87">
        <v>0</v>
      </c>
      <c r="J55" s="87">
        <f>МРСК!K55</f>
        <v>16.8</v>
      </c>
      <c r="K55" s="103">
        <f t="shared" si="5"/>
        <v>-0.2829277481334991</v>
      </c>
      <c r="L55" s="238">
        <f>MIN(K55:K57)</f>
        <v>-0.2829277481334991</v>
      </c>
      <c r="M55" s="88"/>
      <c r="N55" s="13">
        <v>1.05</v>
      </c>
      <c r="O55" s="47">
        <v>16</v>
      </c>
      <c r="Q55" s="13">
        <f>Q57+0.3584</f>
        <v>12.321399999999999</v>
      </c>
      <c r="R55" s="13" t="s">
        <v>4</v>
      </c>
      <c r="T55" s="13">
        <v>32</v>
      </c>
    </row>
    <row r="56" spans="1:18" s="13" customFormat="1" ht="19.5">
      <c r="A56" s="14"/>
      <c r="B56" s="210" t="s">
        <v>59</v>
      </c>
      <c r="C56" s="8" t="s">
        <v>4</v>
      </c>
      <c r="D56" s="155">
        <f t="shared" si="1"/>
        <v>0</v>
      </c>
      <c r="E56" s="99">
        <f>D56+МРСК!F56</f>
        <v>6.951979933803032</v>
      </c>
      <c r="F56" s="33">
        <v>6.697</v>
      </c>
      <c r="G56" s="47"/>
      <c r="H56" s="15">
        <f t="shared" si="2"/>
        <v>0.25497993380303186</v>
      </c>
      <c r="I56" s="15">
        <v>0</v>
      </c>
      <c r="J56" s="15">
        <f>МРСК!K56</f>
        <v>16.8</v>
      </c>
      <c r="K56" s="46">
        <f t="shared" si="5"/>
        <v>16.54502006619697</v>
      </c>
      <c r="L56" s="236"/>
      <c r="M56" s="34"/>
      <c r="N56" s="13">
        <v>1.05</v>
      </c>
      <c r="O56" s="47">
        <v>16</v>
      </c>
      <c r="Q56" s="13">
        <v>0</v>
      </c>
      <c r="R56" s="13">
        <v>0</v>
      </c>
    </row>
    <row r="57" spans="1:18" s="13" customFormat="1" ht="20.25" thickBot="1">
      <c r="A57" s="74"/>
      <c r="B57" s="210" t="s">
        <v>60</v>
      </c>
      <c r="C57" s="75" t="s">
        <v>4</v>
      </c>
      <c r="D57" s="156">
        <f>D55</f>
        <v>12.321399999999999</v>
      </c>
      <c r="E57" s="100">
        <f>D57+МРСК!F57</f>
        <v>18.50095661839909</v>
      </c>
      <c r="F57" s="77">
        <v>1.6729999999999992</v>
      </c>
      <c r="G57" s="78"/>
      <c r="H57" s="79">
        <f t="shared" si="2"/>
        <v>16.827956618399092</v>
      </c>
      <c r="I57" s="79">
        <v>0</v>
      </c>
      <c r="J57" s="79">
        <f>МРСК!K57</f>
        <v>16.8</v>
      </c>
      <c r="K57" s="76">
        <f t="shared" si="5"/>
        <v>-0.027956618399091582</v>
      </c>
      <c r="L57" s="237"/>
      <c r="M57" s="81"/>
      <c r="N57" s="13">
        <v>1.05</v>
      </c>
      <c r="O57" s="47">
        <v>16</v>
      </c>
      <c r="Q57" s="13">
        <f>0.135+11.828</f>
        <v>11.963</v>
      </c>
      <c r="R57" s="13">
        <v>0</v>
      </c>
    </row>
    <row r="58" spans="1:20" s="13" customFormat="1" ht="21" thickBot="1" thickTop="1">
      <c r="A58" s="82">
        <v>33</v>
      </c>
      <c r="B58" s="210" t="s">
        <v>94</v>
      </c>
      <c r="C58" s="84" t="s">
        <v>32</v>
      </c>
      <c r="D58" s="136">
        <f t="shared" si="1"/>
        <v>0</v>
      </c>
      <c r="E58" s="101">
        <f>D58+МРСК!F58</f>
        <v>43.47407579236159</v>
      </c>
      <c r="F58" s="85">
        <f>F59+F60</f>
        <v>5.322</v>
      </c>
      <c r="G58" s="86">
        <v>120</v>
      </c>
      <c r="H58" s="87">
        <f>E58-F58</f>
        <v>38.152075792361586</v>
      </c>
      <c r="I58" s="87">
        <v>0</v>
      </c>
      <c r="J58" s="87">
        <f>МРСК!K58</f>
        <v>52.5</v>
      </c>
      <c r="K58" s="103">
        <f t="shared" si="5"/>
        <v>14.347924207638414</v>
      </c>
      <c r="L58" s="238">
        <f>MIN(K58:K60)</f>
        <v>14.347924207638414</v>
      </c>
      <c r="M58" s="88"/>
      <c r="N58" s="13">
        <v>1.05</v>
      </c>
      <c r="O58" s="47">
        <v>41</v>
      </c>
      <c r="R58" s="13" t="s">
        <v>32</v>
      </c>
      <c r="T58" s="13">
        <v>75</v>
      </c>
    </row>
    <row r="59" spans="1:18" s="13" customFormat="1" ht="21" thickBot="1" thickTop="1">
      <c r="A59" s="14"/>
      <c r="B59" s="210" t="s">
        <v>59</v>
      </c>
      <c r="C59" s="84" t="s">
        <v>32</v>
      </c>
      <c r="D59" s="155">
        <f t="shared" si="1"/>
        <v>0</v>
      </c>
      <c r="E59" s="99">
        <f>D59+МРСК!F59</f>
        <v>19.06160292315418</v>
      </c>
      <c r="F59" s="33">
        <v>3.102</v>
      </c>
      <c r="G59" s="47"/>
      <c r="H59" s="15">
        <f t="shared" si="2"/>
        <v>15.95960292315418</v>
      </c>
      <c r="I59" s="15">
        <v>0</v>
      </c>
      <c r="J59" s="15">
        <f>МРСК!K59</f>
        <v>52.5</v>
      </c>
      <c r="K59" s="46">
        <f t="shared" si="5"/>
        <v>36.54039707684582</v>
      </c>
      <c r="L59" s="236"/>
      <c r="M59" s="34"/>
      <c r="N59" s="13">
        <v>1.05</v>
      </c>
      <c r="O59" s="47">
        <v>41</v>
      </c>
      <c r="Q59" s="13">
        <v>0</v>
      </c>
      <c r="R59" s="13">
        <v>0</v>
      </c>
    </row>
    <row r="60" spans="1:18" s="13" customFormat="1" ht="21" thickBot="1" thickTop="1">
      <c r="A60" s="74"/>
      <c r="B60" s="210" t="s">
        <v>60</v>
      </c>
      <c r="C60" s="84" t="s">
        <v>32</v>
      </c>
      <c r="D60" s="156">
        <f>Q60</f>
        <v>1.3985</v>
      </c>
      <c r="E60" s="100">
        <f>D60+МРСК!F60</f>
        <v>25.86673246579123</v>
      </c>
      <c r="F60" s="77">
        <v>2.22</v>
      </c>
      <c r="G60" s="78"/>
      <c r="H60" s="79">
        <f t="shared" si="2"/>
        <v>23.64673246579123</v>
      </c>
      <c r="I60" s="79">
        <v>0</v>
      </c>
      <c r="J60" s="79">
        <f>МРСК!K60</f>
        <v>52.5</v>
      </c>
      <c r="K60" s="76">
        <f t="shared" si="5"/>
        <v>28.85326753420877</v>
      </c>
      <c r="L60" s="237"/>
      <c r="M60" s="81"/>
      <c r="N60" s="13">
        <v>1.05</v>
      </c>
      <c r="O60" s="47">
        <v>41</v>
      </c>
      <c r="Q60" s="13">
        <f>0.4765+0.84+0.082</f>
        <v>1.3985</v>
      </c>
      <c r="R60" s="13">
        <v>0</v>
      </c>
    </row>
    <row r="61" spans="1:20" s="13" customFormat="1" ht="20.25" thickTop="1">
      <c r="A61" s="82">
        <v>34</v>
      </c>
      <c r="B61" s="210" t="s">
        <v>95</v>
      </c>
      <c r="C61" s="84" t="s">
        <v>8</v>
      </c>
      <c r="D61" s="136">
        <f t="shared" si="1"/>
        <v>0.015</v>
      </c>
      <c r="E61" s="101">
        <f>D61+МРСК!F61</f>
        <v>10.776116856534921</v>
      </c>
      <c r="F61" s="85">
        <v>8.87</v>
      </c>
      <c r="G61" s="86">
        <v>45</v>
      </c>
      <c r="H61" s="87">
        <f t="shared" si="2"/>
        <v>1.906116856534922</v>
      </c>
      <c r="I61" s="87">
        <v>0</v>
      </c>
      <c r="J61" s="87">
        <f>МРСК!K61</f>
        <v>10.5</v>
      </c>
      <c r="K61" s="103">
        <f t="shared" si="5"/>
        <v>8.593883143465078</v>
      </c>
      <c r="L61" s="238">
        <f>MIN(K61:K63)</f>
        <v>8.593883143465078</v>
      </c>
      <c r="M61" s="88"/>
      <c r="N61" s="13">
        <v>1.05</v>
      </c>
      <c r="O61" s="47">
        <v>10</v>
      </c>
      <c r="Q61" s="13">
        <f>0.015</f>
        <v>0.015</v>
      </c>
      <c r="R61" s="13" t="s">
        <v>8</v>
      </c>
      <c r="T61" s="13">
        <v>26</v>
      </c>
    </row>
    <row r="62" spans="1:18" s="13" customFormat="1" ht="19.5">
      <c r="A62" s="14"/>
      <c r="B62" s="210" t="s">
        <v>59</v>
      </c>
      <c r="C62" s="8" t="s">
        <v>8</v>
      </c>
      <c r="D62" s="155">
        <f t="shared" si="1"/>
        <v>0</v>
      </c>
      <c r="E62" s="99">
        <f>D62+МРСК!F62</f>
        <v>10.144911630960616</v>
      </c>
      <c r="F62" s="33">
        <v>8.867</v>
      </c>
      <c r="G62" s="47"/>
      <c r="H62" s="15">
        <f t="shared" si="2"/>
        <v>1.2779116309606149</v>
      </c>
      <c r="I62" s="15">
        <v>0</v>
      </c>
      <c r="J62" s="15">
        <f>МРСК!K62</f>
        <v>10.5</v>
      </c>
      <c r="K62" s="46">
        <f t="shared" si="5"/>
        <v>9.222088369039385</v>
      </c>
      <c r="L62" s="236"/>
      <c r="M62" s="34"/>
      <c r="N62" s="13">
        <v>1.05</v>
      </c>
      <c r="O62" s="47">
        <v>10</v>
      </c>
      <c r="Q62" s="13">
        <v>0</v>
      </c>
      <c r="R62" s="13">
        <v>0</v>
      </c>
    </row>
    <row r="63" spans="1:18" s="13" customFormat="1" ht="20.25" thickBot="1">
      <c r="A63" s="74"/>
      <c r="B63" s="210" t="s">
        <v>60</v>
      </c>
      <c r="C63" s="75" t="s">
        <v>8</v>
      </c>
      <c r="D63" s="156">
        <f>D61</f>
        <v>0.015</v>
      </c>
      <c r="E63" s="100">
        <f>D63+МРСК!F63</f>
        <v>0.6330258894253541</v>
      </c>
      <c r="F63" s="77">
        <v>0</v>
      </c>
      <c r="G63" s="78"/>
      <c r="H63" s="79">
        <f t="shared" si="2"/>
        <v>0.6330258894253541</v>
      </c>
      <c r="I63" s="79">
        <v>0</v>
      </c>
      <c r="J63" s="79">
        <f>МРСК!K63</f>
        <v>10.5</v>
      </c>
      <c r="K63" s="76">
        <f t="shared" si="5"/>
        <v>9.866974110574645</v>
      </c>
      <c r="L63" s="237"/>
      <c r="M63" s="81"/>
      <c r="N63" s="13">
        <v>1.05</v>
      </c>
      <c r="O63" s="47">
        <v>10</v>
      </c>
      <c r="Q63" s="13">
        <v>0</v>
      </c>
      <c r="R63" s="13">
        <v>0</v>
      </c>
    </row>
    <row r="64" spans="1:20" s="13" customFormat="1" ht="21" thickBot="1" thickTop="1">
      <c r="A64" s="14">
        <v>35</v>
      </c>
      <c r="B64" s="210" t="s">
        <v>96</v>
      </c>
      <c r="C64" s="47" t="s">
        <v>2</v>
      </c>
      <c r="D64" s="145">
        <f t="shared" si="1"/>
        <v>0.747</v>
      </c>
      <c r="E64" s="15">
        <f>D64+МРСК!F64</f>
        <v>45.486507954379654</v>
      </c>
      <c r="F64" s="46">
        <v>0</v>
      </c>
      <c r="G64" s="16">
        <v>120</v>
      </c>
      <c r="H64" s="46">
        <f t="shared" si="2"/>
        <v>45.486507954379654</v>
      </c>
      <c r="I64" s="15">
        <v>0</v>
      </c>
      <c r="J64" s="48">
        <f>МРСК!K64</f>
        <v>42</v>
      </c>
      <c r="K64" s="46">
        <f t="shared" si="5"/>
        <v>-3.486507954379654</v>
      </c>
      <c r="L64" s="46">
        <f>MIN(K64:K64)</f>
        <v>-3.486507954379654</v>
      </c>
      <c r="M64" s="34"/>
      <c r="N64" s="13">
        <v>1.05</v>
      </c>
      <c r="O64" s="47">
        <v>40</v>
      </c>
      <c r="Q64" s="13">
        <f>0.365+0.242+0.14</f>
        <v>0.747</v>
      </c>
      <c r="R64" s="13" t="s">
        <v>2</v>
      </c>
      <c r="T64" s="13">
        <v>88</v>
      </c>
    </row>
    <row r="65" spans="1:20" s="13" customFormat="1" ht="21" thickBot="1" thickTop="1">
      <c r="A65" s="82">
        <v>36</v>
      </c>
      <c r="B65" s="210" t="s">
        <v>97</v>
      </c>
      <c r="C65" s="84" t="s">
        <v>4</v>
      </c>
      <c r="D65" s="136">
        <f>Q65</f>
        <v>0</v>
      </c>
      <c r="E65" s="101">
        <f>D65+МРСК!F65</f>
        <v>12.239208144320449</v>
      </c>
      <c r="F65" s="85">
        <v>11.433</v>
      </c>
      <c r="G65" s="86">
        <v>120</v>
      </c>
      <c r="H65" s="87">
        <f t="shared" si="2"/>
        <v>0.8062081443204487</v>
      </c>
      <c r="I65" s="87">
        <v>0</v>
      </c>
      <c r="J65" s="87">
        <f>МРСК!K65</f>
        <v>16.8</v>
      </c>
      <c r="K65" s="103">
        <f t="shared" si="5"/>
        <v>15.993791855679552</v>
      </c>
      <c r="L65" s="238">
        <f>MIN(K65:K67)</f>
        <v>4.808203387902439</v>
      </c>
      <c r="M65" s="88"/>
      <c r="N65" s="13">
        <v>1.05</v>
      </c>
      <c r="O65" s="47">
        <v>16</v>
      </c>
      <c r="R65" s="13" t="s">
        <v>4</v>
      </c>
      <c r="T65" s="13">
        <v>32</v>
      </c>
    </row>
    <row r="66" spans="1:18" s="13" customFormat="1" ht="21" thickBot="1" thickTop="1">
      <c r="A66" s="14"/>
      <c r="B66" s="210" t="s">
        <v>59</v>
      </c>
      <c r="C66" s="84" t="s">
        <v>30</v>
      </c>
      <c r="D66" s="155">
        <f t="shared" si="1"/>
        <v>0</v>
      </c>
      <c r="E66" s="99">
        <f>D66+МРСК!F66</f>
        <v>5.426840701550028</v>
      </c>
      <c r="F66" s="33">
        <v>8.133</v>
      </c>
      <c r="G66" s="47"/>
      <c r="H66" s="15">
        <f t="shared" si="2"/>
        <v>-2.706159298449971</v>
      </c>
      <c r="I66" s="15">
        <v>0</v>
      </c>
      <c r="J66" s="15">
        <f>МРСК!K66</f>
        <v>8.4</v>
      </c>
      <c r="K66" s="46">
        <f t="shared" si="5"/>
        <v>11.10615929844997</v>
      </c>
      <c r="L66" s="236"/>
      <c r="M66" s="34"/>
      <c r="N66" s="13">
        <v>1.05</v>
      </c>
      <c r="O66" s="47">
        <v>8</v>
      </c>
      <c r="Q66" s="13">
        <v>0</v>
      </c>
      <c r="R66" s="13">
        <v>0</v>
      </c>
    </row>
    <row r="67" spans="1:18" s="13" customFormat="1" ht="21" thickBot="1" thickTop="1">
      <c r="A67" s="74"/>
      <c r="B67" s="210" t="s">
        <v>60</v>
      </c>
      <c r="C67" s="84" t="s">
        <v>30</v>
      </c>
      <c r="D67" s="156">
        <f>Q67</f>
        <v>0.038</v>
      </c>
      <c r="E67" s="100">
        <f>D67+МРСК!F67</f>
        <v>6.891796612097561</v>
      </c>
      <c r="F67" s="77">
        <v>3.3</v>
      </c>
      <c r="G67" s="78"/>
      <c r="H67" s="79">
        <f t="shared" si="2"/>
        <v>3.5917966120975615</v>
      </c>
      <c r="I67" s="79">
        <v>0</v>
      </c>
      <c r="J67" s="79">
        <f>МРСК!K67</f>
        <v>8.4</v>
      </c>
      <c r="K67" s="76">
        <f t="shared" si="5"/>
        <v>4.808203387902439</v>
      </c>
      <c r="L67" s="237"/>
      <c r="M67" s="81"/>
      <c r="N67" s="13">
        <v>1.05</v>
      </c>
      <c r="O67" s="47">
        <v>8</v>
      </c>
      <c r="Q67" s="13">
        <f>0.028+0.01</f>
        <v>0.038</v>
      </c>
      <c r="R67" s="13">
        <v>0</v>
      </c>
    </row>
    <row r="68" spans="1:20" s="13" customFormat="1" ht="20.25" thickTop="1">
      <c r="A68" s="82">
        <v>37</v>
      </c>
      <c r="B68" s="210" t="s">
        <v>98</v>
      </c>
      <c r="C68" s="84" t="s">
        <v>7</v>
      </c>
      <c r="D68" s="136">
        <f t="shared" si="1"/>
        <v>0</v>
      </c>
      <c r="E68" s="101">
        <f>D68+МРСК!F68</f>
        <v>10.384669325500932</v>
      </c>
      <c r="F68" s="85">
        <v>11.5</v>
      </c>
      <c r="G68" s="86">
        <v>120</v>
      </c>
      <c r="H68" s="87">
        <f t="shared" si="2"/>
        <v>-1.1153306744990683</v>
      </c>
      <c r="I68" s="87">
        <v>0</v>
      </c>
      <c r="J68" s="87">
        <f>МРСК!K68</f>
        <v>10.5</v>
      </c>
      <c r="K68" s="103">
        <f t="shared" si="5"/>
        <v>11.615330674499068</v>
      </c>
      <c r="L68" s="238">
        <f>MIN(K68:K70)</f>
        <v>9.488687952410267</v>
      </c>
      <c r="M68" s="88"/>
      <c r="N68" s="13">
        <v>1.05</v>
      </c>
      <c r="O68" s="47">
        <v>10</v>
      </c>
      <c r="R68" s="13" t="s">
        <v>7</v>
      </c>
      <c r="T68" s="13">
        <v>20</v>
      </c>
    </row>
    <row r="69" spans="1:18" s="13" customFormat="1" ht="19.5">
      <c r="A69" s="14"/>
      <c r="B69" s="210" t="s">
        <v>59</v>
      </c>
      <c r="C69" s="8" t="s">
        <v>7</v>
      </c>
      <c r="D69" s="155">
        <f t="shared" si="1"/>
        <v>0</v>
      </c>
      <c r="E69" s="99">
        <f>D69+МРСК!F69</f>
        <v>8.811312047589734</v>
      </c>
      <c r="F69" s="33">
        <v>7.8</v>
      </c>
      <c r="G69" s="47"/>
      <c r="H69" s="15">
        <f t="shared" si="2"/>
        <v>1.0113120475897341</v>
      </c>
      <c r="I69" s="15">
        <v>0</v>
      </c>
      <c r="J69" s="15">
        <f>МРСК!K69</f>
        <v>10.5</v>
      </c>
      <c r="K69" s="46">
        <f t="shared" si="5"/>
        <v>9.488687952410267</v>
      </c>
      <c r="L69" s="236"/>
      <c r="M69" s="34"/>
      <c r="N69" s="13">
        <v>1.05</v>
      </c>
      <c r="O69" s="47">
        <v>10</v>
      </c>
      <c r="Q69" s="13">
        <v>0</v>
      </c>
      <c r="R69" s="13">
        <v>0</v>
      </c>
    </row>
    <row r="70" spans="1:18" s="13" customFormat="1" ht="20.25" thickBot="1">
      <c r="A70" s="74"/>
      <c r="B70" s="210" t="s">
        <v>60</v>
      </c>
      <c r="C70" s="75" t="s">
        <v>7</v>
      </c>
      <c r="D70" s="156">
        <f>D68</f>
        <v>0</v>
      </c>
      <c r="E70" s="100">
        <f>D70+МРСК!F70</f>
        <v>1.5777861071767618</v>
      </c>
      <c r="F70" s="77">
        <v>3.7</v>
      </c>
      <c r="G70" s="78"/>
      <c r="H70" s="79">
        <f t="shared" si="2"/>
        <v>-2.1222138928232384</v>
      </c>
      <c r="I70" s="79">
        <v>0</v>
      </c>
      <c r="J70" s="79">
        <f>МРСК!K70</f>
        <v>10.5</v>
      </c>
      <c r="K70" s="76">
        <f t="shared" si="5"/>
        <v>12.622213892823238</v>
      </c>
      <c r="L70" s="237"/>
      <c r="M70" s="81"/>
      <c r="N70" s="13">
        <v>1.05</v>
      </c>
      <c r="O70" s="47">
        <v>10</v>
      </c>
      <c r="Q70" s="13">
        <v>0.012</v>
      </c>
      <c r="R70" s="13">
        <v>0</v>
      </c>
    </row>
    <row r="71" spans="1:20" s="13" customFormat="1" ht="20.25" thickTop="1">
      <c r="A71" s="82">
        <v>38</v>
      </c>
      <c r="B71" s="210" t="s">
        <v>99</v>
      </c>
      <c r="C71" s="84" t="s">
        <v>7</v>
      </c>
      <c r="D71" s="136">
        <v>0.015</v>
      </c>
      <c r="E71" s="101">
        <f>D71+МРСК!F71</f>
        <v>9.696239641698785</v>
      </c>
      <c r="F71" s="85">
        <v>8.83</v>
      </c>
      <c r="G71" s="86">
        <v>120</v>
      </c>
      <c r="H71" s="87">
        <f t="shared" si="2"/>
        <v>0.866239641698785</v>
      </c>
      <c r="I71" s="87">
        <v>0</v>
      </c>
      <c r="J71" s="87">
        <f>МРСК!K71</f>
        <v>10.5</v>
      </c>
      <c r="K71" s="103">
        <f t="shared" si="5"/>
        <v>9.633760358301215</v>
      </c>
      <c r="L71" s="238">
        <f>MIN(K71:K73)</f>
        <v>9.121880368864769</v>
      </c>
      <c r="M71" s="88"/>
      <c r="N71" s="13">
        <v>1.05</v>
      </c>
      <c r="O71" s="47">
        <v>10</v>
      </c>
      <c r="R71" s="13" t="s">
        <v>7</v>
      </c>
      <c r="T71" s="13">
        <v>20</v>
      </c>
    </row>
    <row r="72" spans="1:18" s="13" customFormat="1" ht="19.5">
      <c r="A72" s="14"/>
      <c r="B72" s="210" t="s">
        <v>59</v>
      </c>
      <c r="C72" s="8" t="s">
        <v>7</v>
      </c>
      <c r="D72" s="155">
        <f t="shared" si="1"/>
        <v>0</v>
      </c>
      <c r="E72" s="99">
        <f>D72+МРСК!F72</f>
        <v>5.333119631135232</v>
      </c>
      <c r="F72" s="33">
        <v>3.955</v>
      </c>
      <c r="G72" s="47"/>
      <c r="H72" s="15">
        <f t="shared" si="2"/>
        <v>1.378119631135232</v>
      </c>
      <c r="I72" s="15">
        <v>0</v>
      </c>
      <c r="J72" s="15">
        <f>МРСК!K72</f>
        <v>10.5</v>
      </c>
      <c r="K72" s="46">
        <f t="shared" si="5"/>
        <v>9.121880368864769</v>
      </c>
      <c r="L72" s="236"/>
      <c r="M72" s="34"/>
      <c r="N72" s="13">
        <v>1.05</v>
      </c>
      <c r="O72" s="47">
        <v>10</v>
      </c>
      <c r="Q72" s="13">
        <v>0</v>
      </c>
      <c r="R72" s="13">
        <v>0</v>
      </c>
    </row>
    <row r="73" spans="1:18" s="13" customFormat="1" ht="20.25" thickBot="1">
      <c r="A73" s="74"/>
      <c r="B73" s="210" t="s">
        <v>60</v>
      </c>
      <c r="C73" s="75" t="s">
        <v>7</v>
      </c>
      <c r="D73" s="156">
        <f>D71</f>
        <v>0.015</v>
      </c>
      <c r="E73" s="100">
        <f>D73+МРСК!F73</f>
        <v>4.366357029709237</v>
      </c>
      <c r="F73" s="77">
        <v>4.875</v>
      </c>
      <c r="G73" s="78"/>
      <c r="H73" s="79">
        <f t="shared" si="2"/>
        <v>-0.5086429702907633</v>
      </c>
      <c r="I73" s="79">
        <v>0</v>
      </c>
      <c r="J73" s="79">
        <f>МРСК!K73</f>
        <v>10.5</v>
      </c>
      <c r="K73" s="76">
        <f t="shared" si="5"/>
        <v>11.008642970290763</v>
      </c>
      <c r="L73" s="237"/>
      <c r="M73" s="81"/>
      <c r="N73" s="13">
        <v>1.05</v>
      </c>
      <c r="O73" s="47">
        <v>10</v>
      </c>
      <c r="Q73" s="13">
        <v>0.237</v>
      </c>
      <c r="R73" s="13">
        <v>0</v>
      </c>
    </row>
    <row r="74" spans="1:20" s="13" customFormat="1" ht="21" thickBot="1" thickTop="1">
      <c r="A74" s="14">
        <v>39</v>
      </c>
      <c r="B74" s="210" t="s">
        <v>100</v>
      </c>
      <c r="C74" s="47" t="s">
        <v>1</v>
      </c>
      <c r="D74" s="145">
        <f>Q74</f>
        <v>3.656</v>
      </c>
      <c r="E74" s="15">
        <f>D74+МРСК!F74</f>
        <v>18.722992566534305</v>
      </c>
      <c r="F74" s="46">
        <v>1.46</v>
      </c>
      <c r="G74" s="16">
        <v>45</v>
      </c>
      <c r="H74" s="46">
        <f aca="true" t="shared" si="6" ref="H74:H139">E74-F74</f>
        <v>17.262992566534304</v>
      </c>
      <c r="I74" s="15">
        <v>0</v>
      </c>
      <c r="J74" s="48">
        <f>МРСК!K74</f>
        <v>26.25</v>
      </c>
      <c r="K74" s="46">
        <f t="shared" si="5"/>
        <v>8.987007433465696</v>
      </c>
      <c r="L74" s="46">
        <f>MIN(K74:K74)</f>
        <v>8.987007433465696</v>
      </c>
      <c r="M74" s="34"/>
      <c r="N74" s="13">
        <v>1.05</v>
      </c>
      <c r="O74" s="47">
        <v>25</v>
      </c>
      <c r="Q74" s="13">
        <f>0.015+3.641</f>
        <v>3.656</v>
      </c>
      <c r="R74" s="13" t="s">
        <v>1</v>
      </c>
      <c r="T74" s="13">
        <v>50</v>
      </c>
    </row>
    <row r="75" spans="1:20" s="13" customFormat="1" ht="20.25" thickTop="1">
      <c r="A75" s="82">
        <v>40</v>
      </c>
      <c r="B75" s="210" t="s">
        <v>101</v>
      </c>
      <c r="C75" s="84" t="s">
        <v>1</v>
      </c>
      <c r="D75" s="136">
        <f>D77</f>
        <v>0.223</v>
      </c>
      <c r="E75" s="101">
        <f>D75+МРСК!F75</f>
        <v>20.228664022971092</v>
      </c>
      <c r="F75" s="85">
        <v>10.651</v>
      </c>
      <c r="G75" s="86">
        <v>120</v>
      </c>
      <c r="H75" s="87">
        <f t="shared" si="6"/>
        <v>9.577664022971092</v>
      </c>
      <c r="I75" s="87">
        <v>0</v>
      </c>
      <c r="J75" s="87">
        <f>МРСК!K75</f>
        <v>26.25</v>
      </c>
      <c r="K75" s="103">
        <f t="shared" si="5"/>
        <v>16.672335977028908</v>
      </c>
      <c r="L75" s="238">
        <f>MIN(K75:K77)</f>
        <v>16.672335977028908</v>
      </c>
      <c r="M75" s="88"/>
      <c r="N75" s="13">
        <v>1.05</v>
      </c>
      <c r="O75" s="47">
        <v>25</v>
      </c>
      <c r="R75" s="13" t="s">
        <v>1</v>
      </c>
      <c r="T75" s="13">
        <v>50</v>
      </c>
    </row>
    <row r="76" spans="1:18" s="13" customFormat="1" ht="19.5">
      <c r="A76" s="14"/>
      <c r="B76" s="210" t="s">
        <v>59</v>
      </c>
      <c r="C76" s="8" t="s">
        <v>1</v>
      </c>
      <c r="D76" s="155">
        <f aca="true" t="shared" si="7" ref="D76:D138">Q76</f>
        <v>0</v>
      </c>
      <c r="E76" s="99">
        <f>D76+МРСК!F76</f>
        <v>11.26555515720375</v>
      </c>
      <c r="F76" s="33">
        <v>8.576</v>
      </c>
      <c r="G76" s="47"/>
      <c r="H76" s="15">
        <f t="shared" si="6"/>
        <v>2.689555157203749</v>
      </c>
      <c r="I76" s="15">
        <v>0</v>
      </c>
      <c r="J76" s="15">
        <f>МРСК!K76</f>
        <v>26.25</v>
      </c>
      <c r="K76" s="46">
        <f t="shared" si="5"/>
        <v>23.56044484279625</v>
      </c>
      <c r="L76" s="236"/>
      <c r="M76" s="34"/>
      <c r="N76" s="13">
        <v>1.05</v>
      </c>
      <c r="O76" s="47">
        <v>25</v>
      </c>
      <c r="Q76" s="13">
        <v>0</v>
      </c>
      <c r="R76" s="13">
        <v>0</v>
      </c>
    </row>
    <row r="77" spans="1:18" s="13" customFormat="1" ht="20.25" thickBot="1">
      <c r="A77" s="74"/>
      <c r="B77" s="210" t="s">
        <v>60</v>
      </c>
      <c r="C77" s="75" t="s">
        <v>1</v>
      </c>
      <c r="D77" s="156">
        <f>Q77</f>
        <v>0.223</v>
      </c>
      <c r="E77" s="100">
        <f>D77+МРСК!F77</f>
        <v>8.967963464760732</v>
      </c>
      <c r="F77" s="77">
        <v>2.075</v>
      </c>
      <c r="G77" s="78"/>
      <c r="H77" s="79">
        <f t="shared" si="6"/>
        <v>6.892963464760732</v>
      </c>
      <c r="I77" s="79">
        <v>0</v>
      </c>
      <c r="J77" s="79">
        <f>МРСК!K77</f>
        <v>26.25</v>
      </c>
      <c r="K77" s="76">
        <f t="shared" si="5"/>
        <v>19.357036535239267</v>
      </c>
      <c r="L77" s="237"/>
      <c r="M77" s="81"/>
      <c r="N77" s="13">
        <v>1.05</v>
      </c>
      <c r="O77" s="47">
        <v>25</v>
      </c>
      <c r="Q77" s="13">
        <f>0.015+0.183+0.025</f>
        <v>0.223</v>
      </c>
      <c r="R77" s="13">
        <v>0</v>
      </c>
    </row>
    <row r="78" spans="1:20" s="13" customFormat="1" ht="20.25" thickTop="1">
      <c r="A78" s="82">
        <v>41</v>
      </c>
      <c r="B78" s="210" t="s">
        <v>102</v>
      </c>
      <c r="C78" s="84" t="s">
        <v>1</v>
      </c>
      <c r="D78" s="136">
        <f>Q78</f>
        <v>1.8005</v>
      </c>
      <c r="E78" s="101">
        <f>D78+МРСК!F78</f>
        <v>42.3912904086629</v>
      </c>
      <c r="F78" s="85">
        <v>25.07</v>
      </c>
      <c r="G78" s="86">
        <v>120</v>
      </c>
      <c r="H78" s="87">
        <f t="shared" si="6"/>
        <v>17.321290408662897</v>
      </c>
      <c r="I78" s="87">
        <v>0</v>
      </c>
      <c r="J78" s="87">
        <f>МРСК!K78</f>
        <v>26.25</v>
      </c>
      <c r="K78" s="103">
        <f t="shared" si="5"/>
        <v>8.928709591337103</v>
      </c>
      <c r="L78" s="238">
        <f>MIN(K78:K80)</f>
        <v>4.490894457322192</v>
      </c>
      <c r="M78" s="88"/>
      <c r="N78" s="13">
        <v>1.05</v>
      </c>
      <c r="O78" s="47">
        <v>25</v>
      </c>
      <c r="Q78" s="13">
        <f>0.6455+1.125+0.03</f>
        <v>1.8005</v>
      </c>
      <c r="R78" s="13" t="s">
        <v>1</v>
      </c>
      <c r="T78" s="13">
        <v>50</v>
      </c>
    </row>
    <row r="79" spans="1:18" s="13" customFormat="1" ht="19.5">
      <c r="A79" s="14"/>
      <c r="B79" s="210" t="s">
        <v>59</v>
      </c>
      <c r="C79" s="8" t="s">
        <v>1</v>
      </c>
      <c r="D79" s="155">
        <f t="shared" si="7"/>
        <v>0</v>
      </c>
      <c r="E79" s="99">
        <f>D79+МРСК!F79</f>
        <v>16.9580699668329</v>
      </c>
      <c r="F79" s="33">
        <v>21.3</v>
      </c>
      <c r="G79" s="47"/>
      <c r="H79" s="15">
        <f t="shared" si="6"/>
        <v>-4.3419300331671025</v>
      </c>
      <c r="I79" s="15">
        <v>0</v>
      </c>
      <c r="J79" s="15">
        <f>МРСК!K79</f>
        <v>26.25</v>
      </c>
      <c r="K79" s="46">
        <f t="shared" si="5"/>
        <v>30.591930033167102</v>
      </c>
      <c r="L79" s="236"/>
      <c r="M79" s="34"/>
      <c r="N79" s="13">
        <v>1.05</v>
      </c>
      <c r="O79" s="47">
        <v>25</v>
      </c>
      <c r="Q79" s="13">
        <v>0</v>
      </c>
      <c r="R79" s="13">
        <v>0</v>
      </c>
    </row>
    <row r="80" spans="1:18" s="13" customFormat="1" ht="20.25" thickBot="1">
      <c r="A80" s="74"/>
      <c r="B80" s="210" t="s">
        <v>60</v>
      </c>
      <c r="C80" s="75" t="s">
        <v>1</v>
      </c>
      <c r="D80" s="156">
        <f>D78</f>
        <v>1.8005</v>
      </c>
      <c r="E80" s="100">
        <f>D80+МРСК!F80</f>
        <v>25.529105542677808</v>
      </c>
      <c r="F80" s="77">
        <v>3.77</v>
      </c>
      <c r="G80" s="78"/>
      <c r="H80" s="79">
        <f t="shared" si="6"/>
        <v>21.75910554267781</v>
      </c>
      <c r="I80" s="79">
        <v>0</v>
      </c>
      <c r="J80" s="79">
        <f>МРСК!K80</f>
        <v>26.25</v>
      </c>
      <c r="K80" s="76">
        <f t="shared" si="5"/>
        <v>4.490894457322192</v>
      </c>
      <c r="L80" s="237"/>
      <c r="M80" s="81"/>
      <c r="N80" s="13">
        <v>1.05</v>
      </c>
      <c r="O80" s="47">
        <v>25</v>
      </c>
      <c r="Q80" s="13">
        <v>0</v>
      </c>
      <c r="R80" s="13">
        <v>0</v>
      </c>
    </row>
    <row r="81" spans="1:20" s="13" customFormat="1" ht="20.25" thickTop="1">
      <c r="A81" s="82">
        <v>42</v>
      </c>
      <c r="B81" s="210" t="s">
        <v>103</v>
      </c>
      <c r="C81" s="84" t="s">
        <v>1</v>
      </c>
      <c r="D81" s="136">
        <f t="shared" si="7"/>
        <v>0.25</v>
      </c>
      <c r="E81" s="101">
        <f>D81+МРСК!F81</f>
        <v>2.8400795354583224</v>
      </c>
      <c r="F81" s="85">
        <v>0</v>
      </c>
      <c r="G81" s="86"/>
      <c r="H81" s="87">
        <f t="shared" si="6"/>
        <v>2.8400795354583224</v>
      </c>
      <c r="I81" s="87">
        <v>0</v>
      </c>
      <c r="J81" s="87">
        <f>МРСК!K81</f>
        <v>26.25</v>
      </c>
      <c r="K81" s="103">
        <f t="shared" si="5"/>
        <v>23.409920464541678</v>
      </c>
      <c r="L81" s="238">
        <f>MIN(K81:K83)</f>
        <v>10.284920464541678</v>
      </c>
      <c r="M81" s="88"/>
      <c r="N81" s="13">
        <v>1.05</v>
      </c>
      <c r="O81" s="47">
        <v>25</v>
      </c>
      <c r="Q81" s="13">
        <f>Q82+Q83</f>
        <v>0.25</v>
      </c>
      <c r="R81" s="13" t="s">
        <v>1</v>
      </c>
      <c r="T81" s="13">
        <v>50</v>
      </c>
    </row>
    <row r="82" spans="1:18" s="13" customFormat="1" ht="19.5">
      <c r="A82" s="14"/>
      <c r="B82" s="210" t="s">
        <v>59</v>
      </c>
      <c r="C82" s="8" t="s">
        <v>29</v>
      </c>
      <c r="D82" s="155">
        <f t="shared" si="7"/>
        <v>0</v>
      </c>
      <c r="E82" s="99">
        <f>D82+МРСК!F82</f>
        <v>0</v>
      </c>
      <c r="F82" s="33">
        <v>0</v>
      </c>
      <c r="G82" s="47"/>
      <c r="H82" s="15">
        <f t="shared" si="6"/>
        <v>0</v>
      </c>
      <c r="I82" s="15">
        <v>0</v>
      </c>
      <c r="J82" s="15">
        <f>МРСК!K82</f>
        <v>13.125</v>
      </c>
      <c r="K82" s="46">
        <f t="shared" si="5"/>
        <v>13.125</v>
      </c>
      <c r="L82" s="236"/>
      <c r="M82" s="34"/>
      <c r="N82" s="13">
        <v>1.05</v>
      </c>
      <c r="O82" s="47">
        <v>12.5</v>
      </c>
      <c r="Q82" s="13">
        <v>0</v>
      </c>
      <c r="R82" s="13">
        <v>0</v>
      </c>
    </row>
    <row r="83" spans="1:18" s="13" customFormat="1" ht="20.25" thickBot="1">
      <c r="A83" s="74"/>
      <c r="B83" s="210" t="s">
        <v>60</v>
      </c>
      <c r="C83" s="75" t="s">
        <v>29</v>
      </c>
      <c r="D83" s="156">
        <f t="shared" si="7"/>
        <v>0.25</v>
      </c>
      <c r="E83" s="100">
        <f>D83+МРСК!F83</f>
        <v>2.8400795354583224</v>
      </c>
      <c r="F83" s="77">
        <v>0</v>
      </c>
      <c r="G83" s="78"/>
      <c r="H83" s="79">
        <f t="shared" si="6"/>
        <v>2.8400795354583224</v>
      </c>
      <c r="I83" s="79">
        <v>0</v>
      </c>
      <c r="J83" s="79">
        <f>МРСК!K83</f>
        <v>13.125</v>
      </c>
      <c r="K83" s="76">
        <f t="shared" si="5"/>
        <v>10.284920464541678</v>
      </c>
      <c r="L83" s="237"/>
      <c r="M83" s="81"/>
      <c r="N83" s="13">
        <v>1.05</v>
      </c>
      <c r="O83" s="47">
        <v>12.5</v>
      </c>
      <c r="Q83" s="13">
        <v>0.25</v>
      </c>
      <c r="R83" s="13">
        <v>0</v>
      </c>
    </row>
    <row r="84" spans="1:20" s="13" customFormat="1" ht="21" thickBot="1" thickTop="1">
      <c r="A84" s="14">
        <v>43</v>
      </c>
      <c r="B84" s="210" t="s">
        <v>104</v>
      </c>
      <c r="C84" s="47" t="s">
        <v>4</v>
      </c>
      <c r="D84" s="145">
        <f t="shared" si="7"/>
        <v>0.063</v>
      </c>
      <c r="E84" s="15">
        <f>D84+МРСК!F84</f>
        <v>9.194057331985164</v>
      </c>
      <c r="F84" s="46">
        <v>6.43</v>
      </c>
      <c r="G84" s="16">
        <v>120</v>
      </c>
      <c r="H84" s="46">
        <f t="shared" si="6"/>
        <v>2.764057331985164</v>
      </c>
      <c r="I84" s="15">
        <v>0</v>
      </c>
      <c r="J84" s="48">
        <f>МРСК!K84</f>
        <v>16.8</v>
      </c>
      <c r="K84" s="46">
        <f t="shared" si="5"/>
        <v>14.035942668014837</v>
      </c>
      <c r="L84" s="46">
        <f>K84</f>
        <v>14.035942668014837</v>
      </c>
      <c r="M84" s="34"/>
      <c r="N84" s="13">
        <v>1.05</v>
      </c>
      <c r="O84" s="47">
        <v>16</v>
      </c>
      <c r="Q84" s="13">
        <f>0.015+0.048</f>
        <v>0.063</v>
      </c>
      <c r="R84" s="13" t="s">
        <v>4</v>
      </c>
      <c r="T84" s="13">
        <v>32</v>
      </c>
    </row>
    <row r="85" spans="1:20" s="13" customFormat="1" ht="21" thickBot="1" thickTop="1">
      <c r="A85" s="82">
        <v>44</v>
      </c>
      <c r="B85" s="210" t="s">
        <v>105</v>
      </c>
      <c r="C85" s="84" t="s">
        <v>4</v>
      </c>
      <c r="D85" s="136">
        <f t="shared" si="7"/>
        <v>0.03</v>
      </c>
      <c r="E85" s="101">
        <f>D85+МРСК!F85</f>
        <v>14.243336343026572</v>
      </c>
      <c r="F85" s="85">
        <v>13.953</v>
      </c>
      <c r="G85" s="86">
        <v>80</v>
      </c>
      <c r="H85" s="87">
        <f t="shared" si="6"/>
        <v>0.2903363430265724</v>
      </c>
      <c r="I85" s="87">
        <v>0</v>
      </c>
      <c r="J85" s="87">
        <f>МРСК!K85</f>
        <v>16.8</v>
      </c>
      <c r="K85" s="103">
        <f t="shared" si="5"/>
        <v>16.50966365697343</v>
      </c>
      <c r="L85" s="238">
        <f>MIN(K85:K87)</f>
        <v>14.420087408114831</v>
      </c>
      <c r="M85" s="88"/>
      <c r="N85" s="13">
        <v>1.05</v>
      </c>
      <c r="O85" s="47">
        <v>16</v>
      </c>
      <c r="Q85" s="13">
        <f>Q87</f>
        <v>0.03</v>
      </c>
      <c r="R85" s="13" t="s">
        <v>4</v>
      </c>
      <c r="T85" s="13">
        <v>32</v>
      </c>
    </row>
    <row r="86" spans="1:18" s="13" customFormat="1" ht="21" thickBot="1" thickTop="1">
      <c r="A86" s="14"/>
      <c r="B86" s="210" t="s">
        <v>59</v>
      </c>
      <c r="C86" s="84" t="s">
        <v>4</v>
      </c>
      <c r="D86" s="155">
        <f t="shared" si="7"/>
        <v>0</v>
      </c>
      <c r="E86" s="99">
        <f>D86+МРСК!F86</f>
        <v>8.8206762779279</v>
      </c>
      <c r="F86" s="33">
        <v>10.903</v>
      </c>
      <c r="G86" s="47"/>
      <c r="H86" s="15">
        <f t="shared" si="6"/>
        <v>-2.0823237220721005</v>
      </c>
      <c r="I86" s="15">
        <v>0</v>
      </c>
      <c r="J86" s="15">
        <f>МРСК!K86</f>
        <v>16.8</v>
      </c>
      <c r="K86" s="46">
        <f t="shared" si="5"/>
        <v>18.8823237220721</v>
      </c>
      <c r="L86" s="236"/>
      <c r="M86" s="34"/>
      <c r="N86" s="13">
        <v>1.05</v>
      </c>
      <c r="O86" s="47">
        <v>16</v>
      </c>
      <c r="Q86" s="13">
        <v>0</v>
      </c>
      <c r="R86" s="13">
        <v>0</v>
      </c>
    </row>
    <row r="87" spans="1:18" s="13" customFormat="1" ht="21" thickBot="1" thickTop="1">
      <c r="A87" s="74"/>
      <c r="B87" s="210" t="s">
        <v>60</v>
      </c>
      <c r="C87" s="84" t="s">
        <v>4</v>
      </c>
      <c r="D87" s="156">
        <f>D85</f>
        <v>0.03</v>
      </c>
      <c r="E87" s="100">
        <f>D87+МРСК!F87</f>
        <v>5.429912591885169</v>
      </c>
      <c r="F87" s="77">
        <v>3.05</v>
      </c>
      <c r="G87" s="78"/>
      <c r="H87" s="79">
        <f t="shared" si="6"/>
        <v>2.3799125918851693</v>
      </c>
      <c r="I87" s="79">
        <v>0</v>
      </c>
      <c r="J87" s="79">
        <f>МРСК!K87</f>
        <v>16.8</v>
      </c>
      <c r="K87" s="76">
        <f t="shared" si="5"/>
        <v>14.420087408114831</v>
      </c>
      <c r="L87" s="237"/>
      <c r="M87" s="81"/>
      <c r="N87" s="13">
        <v>1.05</v>
      </c>
      <c r="O87" s="47">
        <v>16</v>
      </c>
      <c r="Q87" s="13">
        <f>0.03</f>
        <v>0.03</v>
      </c>
      <c r="R87" s="13">
        <v>0</v>
      </c>
    </row>
    <row r="88" spans="1:20" s="13" customFormat="1" ht="20.25" thickTop="1">
      <c r="A88" s="14">
        <v>45</v>
      </c>
      <c r="B88" s="210" t="s">
        <v>106</v>
      </c>
      <c r="C88" s="47" t="s">
        <v>3</v>
      </c>
      <c r="D88" s="145">
        <f t="shared" si="7"/>
        <v>2.605</v>
      </c>
      <c r="E88" s="15">
        <f>D88+МРСК!F88</f>
        <v>29.703880272070286</v>
      </c>
      <c r="F88" s="46">
        <v>6.73</v>
      </c>
      <c r="G88" s="16">
        <v>120</v>
      </c>
      <c r="H88" s="46">
        <f t="shared" si="6"/>
        <v>22.973880272070286</v>
      </c>
      <c r="I88" s="15">
        <v>0</v>
      </c>
      <c r="J88" s="48">
        <f>МРСК!K88</f>
        <v>42</v>
      </c>
      <c r="K88" s="46">
        <f t="shared" si="5"/>
        <v>19.026119727929714</v>
      </c>
      <c r="L88" s="46">
        <f>MIN(K88:K88)</f>
        <v>19.026119727929714</v>
      </c>
      <c r="M88" s="34"/>
      <c r="N88" s="13">
        <v>1.05</v>
      </c>
      <c r="O88" s="47">
        <v>40</v>
      </c>
      <c r="Q88" s="13">
        <f>0.03+2.355+0.22</f>
        <v>2.605</v>
      </c>
      <c r="R88" s="13" t="s">
        <v>3</v>
      </c>
      <c r="T88" s="13">
        <v>80</v>
      </c>
    </row>
    <row r="89" spans="1:20" s="13" customFormat="1" ht="20.25" thickBot="1">
      <c r="A89" s="14">
        <v>46</v>
      </c>
      <c r="B89" s="210" t="s">
        <v>107</v>
      </c>
      <c r="C89" s="47" t="s">
        <v>3</v>
      </c>
      <c r="D89" s="145">
        <f>Q89</f>
        <v>2.0873000000000004</v>
      </c>
      <c r="E89" s="15">
        <f>D89+МРСК!F89</f>
        <v>26.321044840614295</v>
      </c>
      <c r="F89" s="46">
        <v>11.23</v>
      </c>
      <c r="G89" s="16">
        <v>120</v>
      </c>
      <c r="H89" s="46">
        <f t="shared" si="6"/>
        <v>15.091044840614295</v>
      </c>
      <c r="I89" s="15">
        <v>0</v>
      </c>
      <c r="J89" s="48">
        <f>МРСК!K89</f>
        <v>42</v>
      </c>
      <c r="K89" s="46">
        <f t="shared" si="5"/>
        <v>26.908955159385705</v>
      </c>
      <c r="L89" s="46">
        <f>MIN(K89:K89)</f>
        <v>26.908955159385705</v>
      </c>
      <c r="M89" s="34"/>
      <c r="N89" s="13">
        <v>1.05</v>
      </c>
      <c r="O89" s="47">
        <v>40</v>
      </c>
      <c r="Q89" s="13">
        <f>0.2283+1.844+0.015</f>
        <v>2.0873000000000004</v>
      </c>
      <c r="R89" s="13" t="s">
        <v>3</v>
      </c>
      <c r="T89" s="13">
        <v>80</v>
      </c>
    </row>
    <row r="90" spans="1:20" s="13" customFormat="1" ht="20.25" thickTop="1">
      <c r="A90" s="82">
        <v>47</v>
      </c>
      <c r="B90" s="210" t="s">
        <v>108</v>
      </c>
      <c r="C90" s="84" t="s">
        <v>28</v>
      </c>
      <c r="D90" s="136">
        <f t="shared" si="7"/>
        <v>0.415</v>
      </c>
      <c r="E90" s="101">
        <f>D90+МРСК!F90</f>
        <v>24.98477220081619</v>
      </c>
      <c r="F90" s="85">
        <v>12.4</v>
      </c>
      <c r="G90" s="86">
        <v>120</v>
      </c>
      <c r="H90" s="87">
        <f t="shared" si="6"/>
        <v>12.584772200816191</v>
      </c>
      <c r="I90" s="87">
        <v>0</v>
      </c>
      <c r="J90" s="87">
        <f>МРСК!K90</f>
        <v>42</v>
      </c>
      <c r="K90" s="103">
        <f t="shared" si="5"/>
        <v>29.41522779918381</v>
      </c>
      <c r="L90" s="238">
        <f>MIN(K90:K92)</f>
        <v>29.41522779918381</v>
      </c>
      <c r="M90" s="88"/>
      <c r="N90" s="13">
        <v>1.05</v>
      </c>
      <c r="O90" s="47">
        <v>40</v>
      </c>
      <c r="Q90" s="13">
        <v>0.415</v>
      </c>
      <c r="R90" s="13" t="s">
        <v>28</v>
      </c>
      <c r="T90" s="13">
        <v>65</v>
      </c>
    </row>
    <row r="91" spans="1:18" s="13" customFormat="1" ht="19.5">
      <c r="A91" s="14"/>
      <c r="B91" s="210" t="s">
        <v>59</v>
      </c>
      <c r="C91" s="8" t="s">
        <v>28</v>
      </c>
      <c r="D91" s="155">
        <f t="shared" si="7"/>
        <v>0</v>
      </c>
      <c r="E91" s="99">
        <f>D91+МРСК!F91</f>
        <v>17.68983586696044</v>
      </c>
      <c r="F91" s="33">
        <v>6.227</v>
      </c>
      <c r="G91" s="47"/>
      <c r="H91" s="15">
        <f t="shared" si="6"/>
        <v>11.46283586696044</v>
      </c>
      <c r="I91" s="15">
        <v>0</v>
      </c>
      <c r="J91" s="15">
        <f>МРСК!K91</f>
        <v>42</v>
      </c>
      <c r="K91" s="46">
        <f t="shared" si="5"/>
        <v>30.53716413303956</v>
      </c>
      <c r="L91" s="236"/>
      <c r="M91" s="34"/>
      <c r="N91" s="13">
        <v>1.05</v>
      </c>
      <c r="O91" s="47">
        <v>40</v>
      </c>
      <c r="Q91" s="13">
        <v>0</v>
      </c>
      <c r="R91" s="13">
        <v>0</v>
      </c>
    </row>
    <row r="92" spans="1:18" s="13" customFormat="1" ht="20.25" thickBot="1">
      <c r="A92" s="74"/>
      <c r="B92" s="210" t="s">
        <v>60</v>
      </c>
      <c r="C92" s="75" t="s">
        <v>28</v>
      </c>
      <c r="D92" s="156">
        <f>D90</f>
        <v>0.415</v>
      </c>
      <c r="E92" s="100">
        <f>D92+МРСК!F92</f>
        <v>7.344858945173415</v>
      </c>
      <c r="F92" s="77">
        <v>6.173</v>
      </c>
      <c r="G92" s="78"/>
      <c r="H92" s="79">
        <f t="shared" si="6"/>
        <v>1.1718589451734154</v>
      </c>
      <c r="I92" s="79">
        <v>0</v>
      </c>
      <c r="J92" s="79">
        <f>МРСК!K92</f>
        <v>42</v>
      </c>
      <c r="K92" s="76">
        <f t="shared" si="5"/>
        <v>40.82814105482659</v>
      </c>
      <c r="L92" s="237"/>
      <c r="M92" s="81"/>
      <c r="N92" s="13">
        <v>1.05</v>
      </c>
      <c r="O92" s="47">
        <v>40</v>
      </c>
      <c r="Q92" s="13">
        <v>0.01</v>
      </c>
      <c r="R92" s="13">
        <v>0</v>
      </c>
    </row>
    <row r="93" spans="1:20" s="13" customFormat="1" ht="21" thickBot="1" thickTop="1">
      <c r="A93" s="14">
        <v>48</v>
      </c>
      <c r="B93" s="210" t="s">
        <v>109</v>
      </c>
      <c r="C93" s="47" t="s">
        <v>4</v>
      </c>
      <c r="D93" s="145">
        <f t="shared" si="7"/>
        <v>1.82</v>
      </c>
      <c r="E93" s="15">
        <f>D93+МРСК!F93</f>
        <v>17.626255280742495</v>
      </c>
      <c r="F93" s="46">
        <v>1.249</v>
      </c>
      <c r="G93" s="16">
        <v>80</v>
      </c>
      <c r="H93" s="46">
        <f t="shared" si="6"/>
        <v>16.377255280742496</v>
      </c>
      <c r="I93" s="15">
        <v>0</v>
      </c>
      <c r="J93" s="48">
        <f>МРСК!K93</f>
        <v>16.8</v>
      </c>
      <c r="K93" s="46">
        <f t="shared" si="5"/>
        <v>0.4227447192575049</v>
      </c>
      <c r="L93" s="46">
        <f>K93</f>
        <v>0.4227447192575049</v>
      </c>
      <c r="M93" s="34"/>
      <c r="N93" s="13">
        <v>1.05</v>
      </c>
      <c r="O93" s="47">
        <v>16</v>
      </c>
      <c r="Q93" s="13">
        <f>0.06+1.554+0.206</f>
        <v>1.82</v>
      </c>
      <c r="R93" s="13" t="s">
        <v>4</v>
      </c>
      <c r="T93" s="13">
        <v>32</v>
      </c>
    </row>
    <row r="94" spans="1:20" s="13" customFormat="1" ht="21" thickBot="1" thickTop="1">
      <c r="A94" s="82">
        <v>49</v>
      </c>
      <c r="B94" s="210" t="s">
        <v>110</v>
      </c>
      <c r="C94" s="84" t="s">
        <v>7</v>
      </c>
      <c r="D94" s="136">
        <f t="shared" si="7"/>
        <v>0.085</v>
      </c>
      <c r="E94" s="101">
        <f>D94+МРСК!F94</f>
        <v>6.462656309334958</v>
      </c>
      <c r="F94" s="85">
        <v>6.16</v>
      </c>
      <c r="G94" s="86">
        <v>80</v>
      </c>
      <c r="H94" s="87">
        <f t="shared" si="6"/>
        <v>0.30265630933495746</v>
      </c>
      <c r="I94" s="87">
        <v>0</v>
      </c>
      <c r="J94" s="87">
        <f>МРСК!K94</f>
        <v>10.5</v>
      </c>
      <c r="K94" s="103">
        <f t="shared" si="5"/>
        <v>10.197343690665043</v>
      </c>
      <c r="L94" s="238">
        <f>MIN(K94:K96)</f>
        <v>10.197343690665043</v>
      </c>
      <c r="M94" s="88"/>
      <c r="N94" s="13">
        <v>1.05</v>
      </c>
      <c r="O94" s="47">
        <v>10</v>
      </c>
      <c r="Q94" s="13">
        <f>0.015+0.07</f>
        <v>0.085</v>
      </c>
      <c r="R94" s="13" t="s">
        <v>7</v>
      </c>
      <c r="T94" s="13">
        <v>20</v>
      </c>
    </row>
    <row r="95" spans="1:18" s="13" customFormat="1" ht="21" thickBot="1" thickTop="1">
      <c r="A95" s="14"/>
      <c r="B95" s="210" t="s">
        <v>59</v>
      </c>
      <c r="C95" s="84" t="s">
        <v>7</v>
      </c>
      <c r="D95" s="155">
        <f t="shared" si="7"/>
        <v>0</v>
      </c>
      <c r="E95" s="99">
        <f>D95+МРСК!F95</f>
        <v>2.480084675973786</v>
      </c>
      <c r="F95" s="33">
        <v>2.375</v>
      </c>
      <c r="G95" s="47"/>
      <c r="H95" s="15">
        <f t="shared" si="6"/>
        <v>0.10508467597378601</v>
      </c>
      <c r="I95" s="15">
        <v>0</v>
      </c>
      <c r="J95" s="15">
        <f>МРСК!K95</f>
        <v>10.5</v>
      </c>
      <c r="K95" s="46">
        <f t="shared" si="5"/>
        <v>10.394915324026215</v>
      </c>
      <c r="L95" s="236"/>
      <c r="M95" s="34"/>
      <c r="N95" s="13">
        <v>1.05</v>
      </c>
      <c r="O95" s="47">
        <v>10</v>
      </c>
      <c r="Q95" s="13">
        <v>0</v>
      </c>
      <c r="R95" s="13">
        <v>0</v>
      </c>
    </row>
    <row r="96" spans="1:18" s="13" customFormat="1" ht="21" thickBot="1" thickTop="1">
      <c r="A96" s="74"/>
      <c r="B96" s="210" t="s">
        <v>60</v>
      </c>
      <c r="C96" s="84" t="s">
        <v>7</v>
      </c>
      <c r="D96" s="156">
        <f>D94</f>
        <v>0.085</v>
      </c>
      <c r="E96" s="100">
        <f>D96+МРСК!F96</f>
        <v>3.9886239572991657</v>
      </c>
      <c r="F96" s="77">
        <v>3.785</v>
      </c>
      <c r="G96" s="78"/>
      <c r="H96" s="79">
        <f t="shared" si="6"/>
        <v>0.2036239572991656</v>
      </c>
      <c r="I96" s="79">
        <v>0</v>
      </c>
      <c r="J96" s="79">
        <f>МРСК!K96</f>
        <v>10.5</v>
      </c>
      <c r="K96" s="76">
        <f t="shared" si="5"/>
        <v>10.296376042700835</v>
      </c>
      <c r="L96" s="237"/>
      <c r="M96" s="81"/>
      <c r="N96" s="13">
        <v>1.05</v>
      </c>
      <c r="O96" s="47">
        <v>10</v>
      </c>
      <c r="Q96" s="13">
        <v>0</v>
      </c>
      <c r="R96" s="13">
        <v>0</v>
      </c>
    </row>
    <row r="97" spans="1:20" s="13" customFormat="1" ht="20.25" thickTop="1">
      <c r="A97" s="82">
        <v>50</v>
      </c>
      <c r="B97" s="210" t="s">
        <v>111</v>
      </c>
      <c r="C97" s="84" t="s">
        <v>4</v>
      </c>
      <c r="D97" s="136">
        <f t="shared" si="7"/>
        <v>0.3655</v>
      </c>
      <c r="E97" s="101">
        <f>D97+МРСК!F97</f>
        <v>18.028653880323866</v>
      </c>
      <c r="F97" s="85">
        <v>7.7116</v>
      </c>
      <c r="G97" s="86">
        <v>120</v>
      </c>
      <c r="H97" s="87">
        <f t="shared" si="6"/>
        <v>10.317053880323865</v>
      </c>
      <c r="I97" s="87">
        <v>0</v>
      </c>
      <c r="J97" s="87">
        <f>МРСК!K97</f>
        <v>16.8</v>
      </c>
      <c r="K97" s="103">
        <f t="shared" si="5"/>
        <v>6.482946119676136</v>
      </c>
      <c r="L97" s="238">
        <f>MIN(K97:K99)</f>
        <v>6.482946119676136</v>
      </c>
      <c r="M97" s="88"/>
      <c r="N97" s="13">
        <v>1.05</v>
      </c>
      <c r="O97" s="47">
        <v>16</v>
      </c>
      <c r="Q97" s="13">
        <f>0.0575+0.293+0.015</f>
        <v>0.3655</v>
      </c>
      <c r="R97" s="13" t="s">
        <v>4</v>
      </c>
      <c r="T97" s="13">
        <v>32</v>
      </c>
    </row>
    <row r="98" spans="1:18" s="13" customFormat="1" ht="19.5">
      <c r="A98" s="14"/>
      <c r="B98" s="210" t="s">
        <v>59</v>
      </c>
      <c r="C98" s="8" t="s">
        <v>4</v>
      </c>
      <c r="D98" s="155">
        <f t="shared" si="7"/>
        <v>0</v>
      </c>
      <c r="E98" s="99">
        <f>D98+МРСК!F98</f>
        <v>9.867671508517093</v>
      </c>
      <c r="F98" s="33">
        <v>4.854</v>
      </c>
      <c r="G98" s="47"/>
      <c r="H98" s="15">
        <f>E98-F98</f>
        <v>5.013671508517093</v>
      </c>
      <c r="I98" s="15">
        <v>0</v>
      </c>
      <c r="J98" s="15">
        <f>МРСК!K98</f>
        <v>16.8</v>
      </c>
      <c r="K98" s="46">
        <f t="shared" si="5"/>
        <v>11.786328491482909</v>
      </c>
      <c r="L98" s="236"/>
      <c r="M98" s="34"/>
      <c r="N98" s="13">
        <v>1.05</v>
      </c>
      <c r="O98" s="47">
        <v>16</v>
      </c>
      <c r="Q98" s="13">
        <v>0</v>
      </c>
      <c r="R98" s="13">
        <v>0</v>
      </c>
    </row>
    <row r="99" spans="1:18" s="13" customFormat="1" ht="20.25" thickBot="1">
      <c r="A99" s="74"/>
      <c r="B99" s="210" t="s">
        <v>60</v>
      </c>
      <c r="C99" s="75" t="s">
        <v>4</v>
      </c>
      <c r="D99" s="156">
        <f>D97</f>
        <v>0.3655</v>
      </c>
      <c r="E99" s="100">
        <f>D99+МРСК!F99</f>
        <v>8.181261767096027</v>
      </c>
      <c r="F99" s="77">
        <v>2.8575999999999997</v>
      </c>
      <c r="G99" s="78"/>
      <c r="H99" s="79">
        <f t="shared" si="6"/>
        <v>5.323661767096027</v>
      </c>
      <c r="I99" s="79">
        <v>0</v>
      </c>
      <c r="J99" s="79">
        <f>МРСК!K99</f>
        <v>16.8</v>
      </c>
      <c r="K99" s="76">
        <f t="shared" si="5"/>
        <v>11.476338232903974</v>
      </c>
      <c r="L99" s="237"/>
      <c r="M99" s="81"/>
      <c r="N99" s="13">
        <v>1.05</v>
      </c>
      <c r="O99" s="47">
        <v>16</v>
      </c>
      <c r="Q99" s="13">
        <v>0</v>
      </c>
      <c r="R99" s="13">
        <v>0</v>
      </c>
    </row>
    <row r="100" spans="1:20" s="13" customFormat="1" ht="20.25" thickTop="1">
      <c r="A100" s="82">
        <v>51</v>
      </c>
      <c r="B100" s="210" t="s">
        <v>112</v>
      </c>
      <c r="C100" s="84" t="s">
        <v>1</v>
      </c>
      <c r="D100" s="136">
        <f t="shared" si="7"/>
        <v>0.015</v>
      </c>
      <c r="E100" s="101">
        <f>D100+МРСК!F100</f>
        <v>13.185093773394327</v>
      </c>
      <c r="F100" s="85">
        <v>9.65</v>
      </c>
      <c r="G100" s="86">
        <v>80</v>
      </c>
      <c r="H100" s="87">
        <f t="shared" si="6"/>
        <v>3.535093773394326</v>
      </c>
      <c r="I100" s="87">
        <v>0</v>
      </c>
      <c r="J100" s="87">
        <f>МРСК!K100</f>
        <v>26.25</v>
      </c>
      <c r="K100" s="103">
        <f t="shared" si="5"/>
        <v>22.714906226605674</v>
      </c>
      <c r="L100" s="238">
        <f>MIN(K100:K102)</f>
        <v>18.826418580734938</v>
      </c>
      <c r="M100" s="88"/>
      <c r="N100" s="13">
        <v>1.05</v>
      </c>
      <c r="O100" s="47">
        <v>25</v>
      </c>
      <c r="Q100" s="13">
        <f>Q102+0.015</f>
        <v>0.015</v>
      </c>
      <c r="R100" s="13" t="s">
        <v>1</v>
      </c>
      <c r="T100" s="13">
        <v>50</v>
      </c>
    </row>
    <row r="101" spans="1:18" s="13" customFormat="1" ht="19.5">
      <c r="A101" s="14"/>
      <c r="B101" s="210" t="s">
        <v>59</v>
      </c>
      <c r="C101" s="8" t="s">
        <v>1</v>
      </c>
      <c r="D101" s="155">
        <f t="shared" si="7"/>
        <v>0</v>
      </c>
      <c r="E101" s="99">
        <f>D101+МРСК!F101</f>
        <v>1.7668095539700932</v>
      </c>
      <c r="F101" s="33">
        <v>1.384</v>
      </c>
      <c r="G101" s="47"/>
      <c r="H101" s="15">
        <f t="shared" si="6"/>
        <v>0.3828095539700933</v>
      </c>
      <c r="I101" s="15">
        <v>0</v>
      </c>
      <c r="J101" s="15">
        <f>МРСК!K101</f>
        <v>26.25</v>
      </c>
      <c r="K101" s="46">
        <f t="shared" si="5"/>
        <v>25.867190446029905</v>
      </c>
      <c r="L101" s="236"/>
      <c r="M101" s="34"/>
      <c r="N101" s="13">
        <v>1.05</v>
      </c>
      <c r="O101" s="47">
        <v>25</v>
      </c>
      <c r="Q101" s="13">
        <v>0</v>
      </c>
      <c r="R101" s="13">
        <v>0</v>
      </c>
    </row>
    <row r="102" spans="1:18" s="13" customFormat="1" ht="20.25" thickBot="1">
      <c r="A102" s="74"/>
      <c r="B102" s="210" t="s">
        <v>60</v>
      </c>
      <c r="C102" s="75" t="s">
        <v>1</v>
      </c>
      <c r="D102" s="156">
        <f>D100</f>
        <v>0.015</v>
      </c>
      <c r="E102" s="100">
        <f>D102+МРСК!F102</f>
        <v>11.423581419265062</v>
      </c>
      <c r="F102" s="77">
        <v>4</v>
      </c>
      <c r="G102" s="78"/>
      <c r="H102" s="79">
        <f t="shared" si="6"/>
        <v>7.423581419265062</v>
      </c>
      <c r="I102" s="79">
        <v>0</v>
      </c>
      <c r="J102" s="79">
        <f>МРСК!K102</f>
        <v>26.25</v>
      </c>
      <c r="K102" s="76">
        <f t="shared" si="5"/>
        <v>18.826418580734938</v>
      </c>
      <c r="L102" s="237"/>
      <c r="M102" s="81"/>
      <c r="N102" s="13">
        <v>1.05</v>
      </c>
      <c r="O102" s="47">
        <v>25</v>
      </c>
      <c r="Q102" s="13">
        <v>0</v>
      </c>
      <c r="R102" s="13">
        <v>0</v>
      </c>
    </row>
    <row r="103" spans="1:20" s="13" customFormat="1" ht="21" thickBot="1" thickTop="1">
      <c r="A103" s="82">
        <v>52</v>
      </c>
      <c r="B103" s="210" t="s">
        <v>113</v>
      </c>
      <c r="C103" s="84" t="s">
        <v>33</v>
      </c>
      <c r="D103" s="136">
        <f t="shared" si="7"/>
        <v>1.312</v>
      </c>
      <c r="E103" s="101">
        <f>D103+МРСК!F103</f>
        <v>23.382651734826503</v>
      </c>
      <c r="F103" s="85">
        <v>2.019</v>
      </c>
      <c r="G103" s="86">
        <v>20</v>
      </c>
      <c r="H103" s="87">
        <f t="shared" si="6"/>
        <v>21.363651734826504</v>
      </c>
      <c r="I103" s="87">
        <v>0</v>
      </c>
      <c r="J103" s="87">
        <f>МРСК!K103</f>
        <v>33.6</v>
      </c>
      <c r="K103" s="103">
        <f t="shared" si="5"/>
        <v>12.236348265173497</v>
      </c>
      <c r="L103" s="238">
        <f>MIN(K103:K105)</f>
        <v>12.236348265173497</v>
      </c>
      <c r="M103" s="88"/>
      <c r="N103" s="13">
        <v>1.05</v>
      </c>
      <c r="O103" s="47">
        <v>32</v>
      </c>
      <c r="Q103" s="13">
        <f>0.02+1.274+0.018</f>
        <v>1.312</v>
      </c>
      <c r="R103" s="13" t="s">
        <v>33</v>
      </c>
      <c r="T103" s="13">
        <v>48</v>
      </c>
    </row>
    <row r="104" spans="1:18" s="13" customFormat="1" ht="21" thickBot="1" thickTop="1">
      <c r="A104" s="14"/>
      <c r="B104" s="210" t="s">
        <v>59</v>
      </c>
      <c r="C104" s="84" t="s">
        <v>33</v>
      </c>
      <c r="D104" s="155">
        <f t="shared" si="7"/>
        <v>0</v>
      </c>
      <c r="E104" s="99">
        <f>D104+МРСК!F104</f>
        <v>8.584183129453844</v>
      </c>
      <c r="F104" s="33">
        <v>1.719</v>
      </c>
      <c r="G104" s="47"/>
      <c r="H104" s="15">
        <f t="shared" si="6"/>
        <v>6.865183129453844</v>
      </c>
      <c r="I104" s="15">
        <v>0</v>
      </c>
      <c r="J104" s="15">
        <f>МРСК!K104</f>
        <v>33.6</v>
      </c>
      <c r="K104" s="46">
        <f t="shared" si="5"/>
        <v>26.734816870546158</v>
      </c>
      <c r="L104" s="236"/>
      <c r="M104" s="34"/>
      <c r="N104" s="13">
        <v>1.05</v>
      </c>
      <c r="O104" s="47">
        <v>32</v>
      </c>
      <c r="Q104" s="13">
        <v>0</v>
      </c>
      <c r="R104" s="13">
        <v>0</v>
      </c>
    </row>
    <row r="105" spans="1:18" s="13" customFormat="1" ht="21" thickBot="1" thickTop="1">
      <c r="A105" s="74"/>
      <c r="B105" s="210" t="s">
        <v>60</v>
      </c>
      <c r="C105" s="84" t="s">
        <v>33</v>
      </c>
      <c r="D105" s="156">
        <f>D103</f>
        <v>1.312</v>
      </c>
      <c r="E105" s="100">
        <f>D105+МРСК!F105</f>
        <v>14.805021159102953</v>
      </c>
      <c r="F105" s="77">
        <v>0.3</v>
      </c>
      <c r="G105" s="78"/>
      <c r="H105" s="79">
        <f t="shared" si="6"/>
        <v>14.505021159102952</v>
      </c>
      <c r="I105" s="79">
        <v>0</v>
      </c>
      <c r="J105" s="79">
        <f>МРСК!K105</f>
        <v>33.6</v>
      </c>
      <c r="K105" s="76">
        <f t="shared" si="5"/>
        <v>19.09497884089705</v>
      </c>
      <c r="L105" s="237"/>
      <c r="M105" s="81"/>
      <c r="N105" s="13">
        <v>1.05</v>
      </c>
      <c r="O105" s="47">
        <v>32</v>
      </c>
      <c r="Q105" s="13">
        <v>0</v>
      </c>
      <c r="R105" s="13">
        <v>0</v>
      </c>
    </row>
    <row r="106" spans="1:20" s="13" customFormat="1" ht="20.25" thickTop="1">
      <c r="A106" s="82">
        <v>53</v>
      </c>
      <c r="B106" s="210" t="s">
        <v>115</v>
      </c>
      <c r="C106" s="84" t="s">
        <v>7</v>
      </c>
      <c r="D106" s="136">
        <f>D108</f>
        <v>0</v>
      </c>
      <c r="E106" s="101">
        <f>D106+МРСК!F107</f>
        <v>10.522097937198646</v>
      </c>
      <c r="F106" s="85">
        <v>9.158000000000001</v>
      </c>
      <c r="G106" s="86">
        <v>120</v>
      </c>
      <c r="H106" s="87">
        <f t="shared" si="6"/>
        <v>1.364097937198645</v>
      </c>
      <c r="I106" s="87">
        <v>0</v>
      </c>
      <c r="J106" s="87">
        <f>МРСК!K107</f>
        <v>10.5</v>
      </c>
      <c r="K106" s="103">
        <f t="shared" si="5"/>
        <v>9.135902062801355</v>
      </c>
      <c r="L106" s="238">
        <f>MIN(K106:K108)</f>
        <v>9.135902062801355</v>
      </c>
      <c r="M106" s="88"/>
      <c r="N106" s="13">
        <v>1.05</v>
      </c>
      <c r="O106" s="47">
        <v>10</v>
      </c>
      <c r="Q106" s="13">
        <f>0.012+0.085+0.014</f>
        <v>0.111</v>
      </c>
      <c r="R106" s="13" t="s">
        <v>7</v>
      </c>
      <c r="T106" s="13">
        <v>20</v>
      </c>
    </row>
    <row r="107" spans="1:18" s="13" customFormat="1" ht="19.5">
      <c r="A107" s="14"/>
      <c r="B107" s="210" t="s">
        <v>59</v>
      </c>
      <c r="C107" s="8" t="s">
        <v>7</v>
      </c>
      <c r="D107" s="155">
        <f t="shared" si="7"/>
        <v>0</v>
      </c>
      <c r="E107" s="99">
        <f>D107+МРСК!F108</f>
        <v>4.655772009022779</v>
      </c>
      <c r="F107" s="33">
        <v>3.52</v>
      </c>
      <c r="G107" s="47"/>
      <c r="H107" s="15">
        <f t="shared" si="6"/>
        <v>1.1357720090227788</v>
      </c>
      <c r="I107" s="15">
        <v>0</v>
      </c>
      <c r="J107" s="15">
        <f>МРСК!K108</f>
        <v>10.5</v>
      </c>
      <c r="K107" s="46">
        <f t="shared" si="5"/>
        <v>9.364227990977222</v>
      </c>
      <c r="L107" s="236"/>
      <c r="M107" s="34"/>
      <c r="N107" s="13">
        <v>1.05</v>
      </c>
      <c r="O107" s="47">
        <v>10</v>
      </c>
      <c r="Q107" s="13">
        <v>0</v>
      </c>
      <c r="R107" s="13">
        <v>0</v>
      </c>
    </row>
    <row r="108" spans="1:18" s="13" customFormat="1" ht="20.25" thickBot="1">
      <c r="A108" s="74"/>
      <c r="B108" s="210" t="s">
        <v>60</v>
      </c>
      <c r="C108" s="75" t="s">
        <v>7</v>
      </c>
      <c r="D108" s="156">
        <f>Q108</f>
        <v>0</v>
      </c>
      <c r="E108" s="100">
        <f>D108+МРСК!F109</f>
        <v>5.866540377428591</v>
      </c>
      <c r="F108" s="77">
        <v>5.638000000000001</v>
      </c>
      <c r="G108" s="78"/>
      <c r="H108" s="79">
        <f t="shared" si="6"/>
        <v>0.22854037742859035</v>
      </c>
      <c r="I108" s="79">
        <v>0</v>
      </c>
      <c r="J108" s="79">
        <f>МРСК!K109</f>
        <v>10.5</v>
      </c>
      <c r="K108" s="76">
        <f aca="true" t="shared" si="8" ref="K108:K161">J108-I108-H108</f>
        <v>10.27145962257141</v>
      </c>
      <c r="L108" s="237"/>
      <c r="M108" s="81"/>
      <c r="N108" s="13">
        <v>1.05</v>
      </c>
      <c r="O108" s="47">
        <v>10</v>
      </c>
      <c r="R108" s="13">
        <v>0</v>
      </c>
    </row>
    <row r="109" spans="1:17" s="13" customFormat="1" ht="21" thickBot="1" thickTop="1">
      <c r="A109" s="166">
        <v>54</v>
      </c>
      <c r="B109" s="166" t="s">
        <v>114</v>
      </c>
      <c r="C109" s="47" t="s">
        <v>4</v>
      </c>
      <c r="D109" s="145">
        <f>Q109</f>
        <v>0.65</v>
      </c>
      <c r="E109" s="47">
        <f>D109+МРСК!F106</f>
        <v>0.65</v>
      </c>
      <c r="F109" s="105">
        <v>0</v>
      </c>
      <c r="G109" s="46">
        <v>0</v>
      </c>
      <c r="H109" s="16">
        <f>E109-F109</f>
        <v>0.65</v>
      </c>
      <c r="I109" s="46">
        <v>0</v>
      </c>
      <c r="J109" s="15">
        <f>МРСК!K106</f>
        <v>16.8</v>
      </c>
      <c r="K109" s="46">
        <f t="shared" si="5"/>
        <v>16.150000000000002</v>
      </c>
      <c r="L109" s="105">
        <f>K109</f>
        <v>16.150000000000002</v>
      </c>
      <c r="M109" s="46"/>
      <c r="N109" s="34"/>
      <c r="P109" s="47"/>
      <c r="Q109" s="13">
        <f>0.2+0.45</f>
        <v>0.65</v>
      </c>
    </row>
    <row r="110" spans="1:20" s="13" customFormat="1" ht="21" thickBot="1" thickTop="1">
      <c r="A110" s="82">
        <v>55</v>
      </c>
      <c r="B110" s="83" t="s">
        <v>116</v>
      </c>
      <c r="C110" s="84" t="s">
        <v>3</v>
      </c>
      <c r="D110" s="136">
        <f>Q110</f>
        <v>0.035</v>
      </c>
      <c r="E110" s="101">
        <f>D110+МРСК!F110</f>
        <v>2.7015447680472193</v>
      </c>
      <c r="F110" s="85"/>
      <c r="G110" s="86"/>
      <c r="H110" s="87">
        <f>E110-F110</f>
        <v>2.7015447680472193</v>
      </c>
      <c r="I110" s="87">
        <v>0</v>
      </c>
      <c r="J110" s="87">
        <f>МРСК!K110</f>
        <v>42</v>
      </c>
      <c r="K110" s="103">
        <f>J110-I110-H110</f>
        <v>39.29845523195278</v>
      </c>
      <c r="L110" s="182">
        <f>K110</f>
        <v>39.29845523195278</v>
      </c>
      <c r="M110" s="88"/>
      <c r="N110" s="13">
        <v>1.05</v>
      </c>
      <c r="O110" s="47">
        <v>16</v>
      </c>
      <c r="Q110" s="13">
        <v>0.035</v>
      </c>
      <c r="R110" s="13" t="s">
        <v>4</v>
      </c>
      <c r="T110" s="13">
        <v>80</v>
      </c>
    </row>
    <row r="111" spans="1:20" s="13" customFormat="1" ht="20.25" thickTop="1">
      <c r="A111" s="82">
        <v>56</v>
      </c>
      <c r="B111" s="210" t="s">
        <v>117</v>
      </c>
      <c r="C111" s="84" t="s">
        <v>4</v>
      </c>
      <c r="D111" s="136">
        <f t="shared" si="7"/>
        <v>0</v>
      </c>
      <c r="E111" s="101">
        <f>D111+МРСК!F111</f>
        <v>8.478282845010538</v>
      </c>
      <c r="F111" s="85">
        <v>11.48</v>
      </c>
      <c r="G111" s="86">
        <v>45</v>
      </c>
      <c r="H111" s="87">
        <f t="shared" si="6"/>
        <v>-3.0017171549894623</v>
      </c>
      <c r="I111" s="87">
        <v>0</v>
      </c>
      <c r="J111" s="87">
        <f>МРСК!K111</f>
        <v>16.8</v>
      </c>
      <c r="K111" s="103">
        <f t="shared" si="8"/>
        <v>19.80171715498946</v>
      </c>
      <c r="L111" s="238">
        <f>MIN(K111:K113)</f>
        <v>17.792013955820387</v>
      </c>
      <c r="M111" s="88"/>
      <c r="N111" s="13">
        <v>1.05</v>
      </c>
      <c r="O111" s="47">
        <v>16</v>
      </c>
      <c r="Q111" s="13">
        <v>0</v>
      </c>
      <c r="R111" s="13" t="s">
        <v>4</v>
      </c>
      <c r="T111" s="13">
        <v>32</v>
      </c>
    </row>
    <row r="112" spans="1:18" s="13" customFormat="1" ht="19.5">
      <c r="A112" s="14"/>
      <c r="B112" s="210" t="s">
        <v>59</v>
      </c>
      <c r="C112" s="8" t="s">
        <v>4</v>
      </c>
      <c r="D112" s="155">
        <f t="shared" si="7"/>
        <v>0</v>
      </c>
      <c r="E112" s="99">
        <f>D112+МРСК!F112</f>
        <v>7.444753588937648</v>
      </c>
      <c r="F112" s="33">
        <v>9.449</v>
      </c>
      <c r="G112" s="47"/>
      <c r="H112" s="15">
        <f t="shared" si="6"/>
        <v>-2.0042464110623515</v>
      </c>
      <c r="I112" s="15">
        <v>0</v>
      </c>
      <c r="J112" s="15">
        <f>МРСК!K112</f>
        <v>16.8</v>
      </c>
      <c r="K112" s="46">
        <f t="shared" si="8"/>
        <v>18.80424641106235</v>
      </c>
      <c r="L112" s="236"/>
      <c r="M112" s="34"/>
      <c r="N112" s="13">
        <v>1.05</v>
      </c>
      <c r="O112" s="47">
        <v>16</v>
      </c>
      <c r="Q112" s="13">
        <v>0</v>
      </c>
      <c r="R112" s="13">
        <v>0</v>
      </c>
    </row>
    <row r="113" spans="1:18" s="13" customFormat="1" ht="20.25" thickBot="1">
      <c r="A113" s="74"/>
      <c r="B113" s="210" t="s">
        <v>60</v>
      </c>
      <c r="C113" s="75" t="s">
        <v>4</v>
      </c>
      <c r="D113" s="156">
        <f t="shared" si="7"/>
        <v>0</v>
      </c>
      <c r="E113" s="100">
        <f>D113+МРСК!F113</f>
        <v>1.0389860441796126</v>
      </c>
      <c r="F113" s="77">
        <v>2.0310000000000006</v>
      </c>
      <c r="G113" s="78"/>
      <c r="H113" s="79">
        <f t="shared" si="6"/>
        <v>-0.992013955820388</v>
      </c>
      <c r="I113" s="79">
        <v>0</v>
      </c>
      <c r="J113" s="79">
        <f>МРСК!K113</f>
        <v>16.8</v>
      </c>
      <c r="K113" s="76">
        <f t="shared" si="8"/>
        <v>17.792013955820387</v>
      </c>
      <c r="L113" s="237"/>
      <c r="M113" s="81"/>
      <c r="N113" s="13">
        <v>1.05</v>
      </c>
      <c r="O113" s="47">
        <v>16</v>
      </c>
      <c r="Q113" s="13">
        <v>0</v>
      </c>
      <c r="R113" s="13">
        <v>0</v>
      </c>
    </row>
    <row r="114" spans="1:20" s="13" customFormat="1" ht="20.25" thickTop="1">
      <c r="A114" s="82">
        <v>57</v>
      </c>
      <c r="B114" s="210" t="s">
        <v>118</v>
      </c>
      <c r="C114" s="84" t="s">
        <v>23</v>
      </c>
      <c r="D114" s="136">
        <f t="shared" si="7"/>
        <v>0.305</v>
      </c>
      <c r="E114" s="101">
        <f>D114+МРСК!F114</f>
        <v>23.13855359991081</v>
      </c>
      <c r="F114" s="85">
        <v>9.119</v>
      </c>
      <c r="G114" s="86">
        <v>80</v>
      </c>
      <c r="H114" s="87">
        <f t="shared" si="6"/>
        <v>14.019553599910811</v>
      </c>
      <c r="I114" s="87">
        <v>0</v>
      </c>
      <c r="J114" s="87">
        <f>МРСК!K114</f>
        <v>26.25</v>
      </c>
      <c r="K114" s="103">
        <f t="shared" si="8"/>
        <v>12.230446400089189</v>
      </c>
      <c r="L114" s="238">
        <f>MIN(K114:K116)</f>
        <v>12.230446400089189</v>
      </c>
      <c r="M114" s="88"/>
      <c r="N114" s="13">
        <v>1.05</v>
      </c>
      <c r="O114" s="47">
        <v>25</v>
      </c>
      <c r="Q114" s="13">
        <f>0.045+0.045+0.215</f>
        <v>0.305</v>
      </c>
      <c r="R114" s="13" t="s">
        <v>23</v>
      </c>
      <c r="T114" s="13">
        <v>56.5</v>
      </c>
    </row>
    <row r="115" spans="1:18" s="13" customFormat="1" ht="19.5">
      <c r="A115" s="14"/>
      <c r="B115" s="210" t="s">
        <v>59</v>
      </c>
      <c r="C115" s="8" t="s">
        <v>23</v>
      </c>
      <c r="D115" s="155">
        <f t="shared" si="7"/>
        <v>0</v>
      </c>
      <c r="E115" s="99">
        <f>D115+МРСК!F115</f>
        <v>8.224282704284915</v>
      </c>
      <c r="F115" s="33">
        <v>7.83</v>
      </c>
      <c r="G115" s="47"/>
      <c r="H115" s="15">
        <f t="shared" si="6"/>
        <v>0.3942827042849153</v>
      </c>
      <c r="I115" s="15">
        <v>0</v>
      </c>
      <c r="J115" s="15">
        <f>МРСК!K115</f>
        <v>26.25</v>
      </c>
      <c r="K115" s="46">
        <f t="shared" si="8"/>
        <v>25.855717295715085</v>
      </c>
      <c r="L115" s="236"/>
      <c r="M115" s="34"/>
      <c r="N115" s="13">
        <v>1.05</v>
      </c>
      <c r="O115" s="47">
        <v>25</v>
      </c>
      <c r="Q115" s="13">
        <v>0</v>
      </c>
      <c r="R115" s="13">
        <v>0</v>
      </c>
    </row>
    <row r="116" spans="1:18" s="13" customFormat="1" ht="20.25" thickBot="1">
      <c r="A116" s="74"/>
      <c r="B116" s="210" t="s">
        <v>60</v>
      </c>
      <c r="C116" s="75" t="s">
        <v>23</v>
      </c>
      <c r="D116" s="156">
        <f>D114</f>
        <v>0.305</v>
      </c>
      <c r="E116" s="100">
        <f>D116+МРСК!F116</f>
        <v>14.943577526522173</v>
      </c>
      <c r="F116" s="77">
        <v>1.2889999999999997</v>
      </c>
      <c r="G116" s="78"/>
      <c r="H116" s="79">
        <f t="shared" si="6"/>
        <v>13.654577526522173</v>
      </c>
      <c r="I116" s="79">
        <v>0</v>
      </c>
      <c r="J116" s="79">
        <f>МРСК!K116</f>
        <v>26.25</v>
      </c>
      <c r="K116" s="76">
        <f t="shared" si="8"/>
        <v>12.595422473477827</v>
      </c>
      <c r="L116" s="237"/>
      <c r="M116" s="81"/>
      <c r="N116" s="13">
        <v>1.05</v>
      </c>
      <c r="O116" s="47">
        <v>25</v>
      </c>
      <c r="Q116" s="13">
        <v>0</v>
      </c>
      <c r="R116" s="13">
        <v>0</v>
      </c>
    </row>
    <row r="117" spans="1:20" s="13" customFormat="1" ht="20.25" thickTop="1">
      <c r="A117" s="14">
        <v>58</v>
      </c>
      <c r="B117" s="210" t="s">
        <v>119</v>
      </c>
      <c r="C117" s="47" t="s">
        <v>1</v>
      </c>
      <c r="D117" s="145">
        <f t="shared" si="7"/>
        <v>0</v>
      </c>
      <c r="E117" s="15">
        <f>D117+МРСК!F117</f>
        <v>2.3022528097496155</v>
      </c>
      <c r="F117" s="46">
        <v>0</v>
      </c>
      <c r="G117" s="16"/>
      <c r="H117" s="46">
        <f t="shared" si="6"/>
        <v>2.3022528097496155</v>
      </c>
      <c r="I117" s="15">
        <v>0</v>
      </c>
      <c r="J117" s="48">
        <f>МРСК!K117</f>
        <v>26.25</v>
      </c>
      <c r="K117" s="46">
        <f t="shared" si="8"/>
        <v>23.947747190250386</v>
      </c>
      <c r="L117" s="46">
        <f>MIN(K117:K117)</f>
        <v>23.947747190250386</v>
      </c>
      <c r="M117" s="34"/>
      <c r="N117" s="13">
        <v>1.05</v>
      </c>
      <c r="O117" s="47">
        <v>25</v>
      </c>
      <c r="Q117" s="13">
        <v>0</v>
      </c>
      <c r="R117" s="13" t="s">
        <v>1</v>
      </c>
      <c r="T117" s="13">
        <v>50</v>
      </c>
    </row>
    <row r="118" spans="1:20" s="13" customFormat="1" ht="19.5">
      <c r="A118" s="14">
        <v>59</v>
      </c>
      <c r="B118" s="210" t="s">
        <v>120</v>
      </c>
      <c r="C118" s="47" t="s">
        <v>4</v>
      </c>
      <c r="D118" s="145">
        <f t="shared" si="7"/>
        <v>0</v>
      </c>
      <c r="E118" s="15">
        <f>D118+МРСК!F118</f>
        <v>5.797271944630509</v>
      </c>
      <c r="F118" s="46">
        <v>0</v>
      </c>
      <c r="G118" s="16"/>
      <c r="H118" s="46">
        <f t="shared" si="6"/>
        <v>5.797271944630509</v>
      </c>
      <c r="I118" s="15">
        <v>0</v>
      </c>
      <c r="J118" s="48">
        <f>МРСК!K118</f>
        <v>16.8</v>
      </c>
      <c r="K118" s="46">
        <f t="shared" si="8"/>
        <v>11.002728055369491</v>
      </c>
      <c r="L118" s="46">
        <f>K118</f>
        <v>11.002728055369491</v>
      </c>
      <c r="M118" s="34"/>
      <c r="N118" s="13">
        <v>1.05</v>
      </c>
      <c r="O118" s="47">
        <v>16</v>
      </c>
      <c r="R118" s="13" t="s">
        <v>4</v>
      </c>
      <c r="T118" s="13">
        <v>32</v>
      </c>
    </row>
    <row r="119" spans="1:20" s="13" customFormat="1" ht="19.5">
      <c r="A119" s="14">
        <v>60</v>
      </c>
      <c r="B119" s="210" t="s">
        <v>121</v>
      </c>
      <c r="C119" s="47" t="s">
        <v>1</v>
      </c>
      <c r="D119" s="145">
        <f t="shared" si="7"/>
        <v>3.4417</v>
      </c>
      <c r="E119" s="15">
        <f>D119+МРСК!F119</f>
        <v>20.63127969236014</v>
      </c>
      <c r="F119" s="46">
        <v>0</v>
      </c>
      <c r="G119" s="16"/>
      <c r="H119" s="46">
        <f t="shared" si="6"/>
        <v>20.63127969236014</v>
      </c>
      <c r="I119" s="15">
        <v>0</v>
      </c>
      <c r="J119" s="48">
        <f>МРСК!K119</f>
        <v>26.25</v>
      </c>
      <c r="K119" s="46">
        <f t="shared" si="8"/>
        <v>5.618720307639862</v>
      </c>
      <c r="L119" s="46">
        <f>MIN(K119:K119)</f>
        <v>5.618720307639862</v>
      </c>
      <c r="M119" s="34"/>
      <c r="N119" s="13">
        <v>1.05</v>
      </c>
      <c r="O119" s="47">
        <v>25</v>
      </c>
      <c r="Q119" s="13">
        <f>0.1667+3.26+0.015</f>
        <v>3.4417</v>
      </c>
      <c r="R119" s="13" t="s">
        <v>1</v>
      </c>
      <c r="T119" s="13">
        <v>50</v>
      </c>
    </row>
    <row r="120" spans="1:20" s="13" customFormat="1" ht="19.5">
      <c r="A120" s="14">
        <v>61</v>
      </c>
      <c r="B120" s="210" t="s">
        <v>122</v>
      </c>
      <c r="C120" s="47" t="s">
        <v>4</v>
      </c>
      <c r="D120" s="145">
        <f t="shared" si="7"/>
        <v>3.29</v>
      </c>
      <c r="E120" s="15">
        <f>D120+МРСК!F120</f>
        <v>14.757850757661611</v>
      </c>
      <c r="F120" s="46">
        <v>1.296</v>
      </c>
      <c r="G120" s="16">
        <v>80</v>
      </c>
      <c r="H120" s="46">
        <f t="shared" si="6"/>
        <v>13.461850757661612</v>
      </c>
      <c r="I120" s="15">
        <v>0</v>
      </c>
      <c r="J120" s="48">
        <f>МРСК!K120</f>
        <v>16.8</v>
      </c>
      <c r="K120" s="46">
        <f t="shared" si="8"/>
        <v>3.338149242338389</v>
      </c>
      <c r="L120" s="46">
        <f>K120</f>
        <v>3.338149242338389</v>
      </c>
      <c r="M120" s="34"/>
      <c r="N120" s="13">
        <v>1.05</v>
      </c>
      <c r="O120" s="47">
        <v>16</v>
      </c>
      <c r="Q120" s="13">
        <f>0.8+2.49</f>
        <v>3.29</v>
      </c>
      <c r="R120" s="13" t="s">
        <v>4</v>
      </c>
      <c r="T120" s="13">
        <v>32</v>
      </c>
    </row>
    <row r="121" spans="1:20" s="13" customFormat="1" ht="20.25" thickBot="1">
      <c r="A121" s="14">
        <v>62</v>
      </c>
      <c r="B121" s="210" t="s">
        <v>123</v>
      </c>
      <c r="C121" s="47" t="s">
        <v>3</v>
      </c>
      <c r="D121" s="145">
        <f>Q121</f>
        <v>0.088</v>
      </c>
      <c r="E121" s="15">
        <f>D121+МРСК!F121</f>
        <v>34.909562285457554</v>
      </c>
      <c r="F121" s="46">
        <v>0</v>
      </c>
      <c r="G121" s="47">
        <v>60</v>
      </c>
      <c r="H121" s="46">
        <f t="shared" si="6"/>
        <v>34.909562285457554</v>
      </c>
      <c r="I121" s="15">
        <v>0</v>
      </c>
      <c r="J121" s="48">
        <f>МРСК!K121</f>
        <v>42</v>
      </c>
      <c r="K121" s="46">
        <f t="shared" si="8"/>
        <v>7.090437714542446</v>
      </c>
      <c r="L121" s="46">
        <f>MIN(K121:K121)</f>
        <v>7.090437714542446</v>
      </c>
      <c r="M121" s="34"/>
      <c r="N121" s="13">
        <v>1.05</v>
      </c>
      <c r="O121" s="47">
        <v>40</v>
      </c>
      <c r="Q121" s="13">
        <f>0.04+0.048</f>
        <v>0.088</v>
      </c>
      <c r="R121" s="13" t="s">
        <v>3</v>
      </c>
      <c r="T121" s="13">
        <v>80</v>
      </c>
    </row>
    <row r="122" spans="1:20" s="13" customFormat="1" ht="21" thickBot="1" thickTop="1">
      <c r="A122" s="14">
        <v>63</v>
      </c>
      <c r="B122" s="210" t="s">
        <v>124</v>
      </c>
      <c r="C122" s="84" t="s">
        <v>7</v>
      </c>
      <c r="D122" s="136">
        <f t="shared" si="7"/>
        <v>0.5586000000000001</v>
      </c>
      <c r="E122" s="101">
        <f>D122+МРСК!F122</f>
        <v>11.45798145033928</v>
      </c>
      <c r="F122" s="85">
        <v>8.98</v>
      </c>
      <c r="G122" s="86">
        <v>120</v>
      </c>
      <c r="H122" s="87">
        <f t="shared" si="6"/>
        <v>2.4779814503392803</v>
      </c>
      <c r="I122" s="87">
        <v>0</v>
      </c>
      <c r="J122" s="87">
        <f>МРСК!K122</f>
        <v>10.5</v>
      </c>
      <c r="K122" s="103">
        <f t="shared" si="8"/>
        <v>8.02201854966072</v>
      </c>
      <c r="L122" s="238">
        <f>MIN(K122:K124)</f>
        <v>7.2386138026641</v>
      </c>
      <c r="M122" s="88"/>
      <c r="N122" s="13">
        <v>1.05</v>
      </c>
      <c r="O122" s="47">
        <v>10</v>
      </c>
      <c r="Q122" s="13">
        <f>0.0796+0.454+0.025</f>
        <v>0.5586000000000001</v>
      </c>
      <c r="R122" s="13" t="s">
        <v>7</v>
      </c>
      <c r="T122" s="13">
        <v>20</v>
      </c>
    </row>
    <row r="123" spans="1:18" s="13" customFormat="1" ht="21" thickBot="1" thickTop="1">
      <c r="A123" s="14"/>
      <c r="B123" s="210" t="s">
        <v>59</v>
      </c>
      <c r="C123" s="84" t="s">
        <v>7</v>
      </c>
      <c r="D123" s="155">
        <f t="shared" si="7"/>
        <v>0</v>
      </c>
      <c r="E123" s="99">
        <f>D123+МРСК!F123</f>
        <v>5.864371407064869</v>
      </c>
      <c r="F123" s="33">
        <v>6.407</v>
      </c>
      <c r="G123" s="47"/>
      <c r="H123" s="15">
        <f t="shared" si="6"/>
        <v>-0.5426285929351309</v>
      </c>
      <c r="I123" s="15">
        <v>0</v>
      </c>
      <c r="J123" s="15">
        <f>МРСК!K123</f>
        <v>10.5</v>
      </c>
      <c r="K123" s="46">
        <f t="shared" si="8"/>
        <v>11.04262859293513</v>
      </c>
      <c r="L123" s="236"/>
      <c r="M123" s="34"/>
      <c r="N123" s="13">
        <v>1.05</v>
      </c>
      <c r="O123" s="47">
        <v>10</v>
      </c>
      <c r="Q123" s="13">
        <v>0</v>
      </c>
      <c r="R123" s="13">
        <v>0</v>
      </c>
    </row>
    <row r="124" spans="1:18" s="13" customFormat="1" ht="21" thickBot="1" thickTop="1">
      <c r="A124" s="74"/>
      <c r="B124" s="210" t="s">
        <v>60</v>
      </c>
      <c r="C124" s="84" t="s">
        <v>7</v>
      </c>
      <c r="D124" s="156">
        <f>D122</f>
        <v>0.5586000000000001</v>
      </c>
      <c r="E124" s="100">
        <f>D124+МРСК!F124</f>
        <v>5.834386197335901</v>
      </c>
      <c r="F124" s="77">
        <v>2.5730000000000004</v>
      </c>
      <c r="G124" s="78"/>
      <c r="H124" s="79">
        <f t="shared" si="6"/>
        <v>3.2613861973359004</v>
      </c>
      <c r="I124" s="79">
        <v>0</v>
      </c>
      <c r="J124" s="79">
        <f>МРСК!K124</f>
        <v>10.5</v>
      </c>
      <c r="K124" s="76">
        <f t="shared" si="8"/>
        <v>7.2386138026641</v>
      </c>
      <c r="L124" s="237"/>
      <c r="M124" s="81"/>
      <c r="N124" s="13">
        <v>1.05</v>
      </c>
      <c r="O124" s="47">
        <v>10</v>
      </c>
      <c r="Q124" s="13">
        <v>0</v>
      </c>
      <c r="R124" s="13">
        <v>0</v>
      </c>
    </row>
    <row r="125" spans="1:20" s="13" customFormat="1" ht="20.25" thickTop="1">
      <c r="A125" s="82">
        <v>64</v>
      </c>
      <c r="B125" s="210" t="s">
        <v>125</v>
      </c>
      <c r="C125" s="84" t="s">
        <v>1</v>
      </c>
      <c r="D125" s="136">
        <f t="shared" si="7"/>
        <v>0.01</v>
      </c>
      <c r="E125" s="101">
        <f>D125+МРСК!F125</f>
        <v>18.46529411849077</v>
      </c>
      <c r="F125" s="85">
        <v>10.46</v>
      </c>
      <c r="G125" s="86">
        <v>45</v>
      </c>
      <c r="H125" s="87">
        <f t="shared" si="6"/>
        <v>8.00529411849077</v>
      </c>
      <c r="I125" s="87">
        <v>0</v>
      </c>
      <c r="J125" s="87">
        <f>МРСК!K125</f>
        <v>26.25</v>
      </c>
      <c r="K125" s="103">
        <f t="shared" si="8"/>
        <v>18.24470588150923</v>
      </c>
      <c r="L125" s="238">
        <f>MIN(K125:K127)</f>
        <v>18.24470588150923</v>
      </c>
      <c r="M125" s="88"/>
      <c r="N125" s="13">
        <v>1.05</v>
      </c>
      <c r="O125" s="47">
        <v>25</v>
      </c>
      <c r="Q125" s="13">
        <f>0.01</f>
        <v>0.01</v>
      </c>
      <c r="R125" s="13" t="s">
        <v>1</v>
      </c>
      <c r="T125" s="13">
        <v>50</v>
      </c>
    </row>
    <row r="126" spans="1:18" s="13" customFormat="1" ht="19.5">
      <c r="A126" s="14"/>
      <c r="B126" s="210" t="s">
        <v>59</v>
      </c>
      <c r="C126" s="8" t="s">
        <v>1</v>
      </c>
      <c r="D126" s="155">
        <f t="shared" si="7"/>
        <v>0</v>
      </c>
      <c r="E126" s="99">
        <f>D126+МРСК!F126</f>
        <v>11.546979258663281</v>
      </c>
      <c r="F126" s="33">
        <v>10.46</v>
      </c>
      <c r="G126" s="47"/>
      <c r="H126" s="15">
        <f t="shared" si="6"/>
        <v>1.0869792586632805</v>
      </c>
      <c r="I126" s="15">
        <v>0</v>
      </c>
      <c r="J126" s="15">
        <f>МРСК!K126</f>
        <v>26.25</v>
      </c>
      <c r="K126" s="46">
        <f t="shared" si="8"/>
        <v>25.16302074133672</v>
      </c>
      <c r="L126" s="236"/>
      <c r="M126" s="34"/>
      <c r="N126" s="13">
        <v>1.05</v>
      </c>
      <c r="O126" s="47">
        <v>25</v>
      </c>
      <c r="Q126" s="13">
        <v>0</v>
      </c>
      <c r="R126" s="13">
        <v>0</v>
      </c>
    </row>
    <row r="127" spans="1:18" s="13" customFormat="1" ht="20.25" thickBot="1">
      <c r="A127" s="74"/>
      <c r="B127" s="210" t="s">
        <v>60</v>
      </c>
      <c r="C127" s="75" t="s">
        <v>1</v>
      </c>
      <c r="D127" s="156">
        <f>D125</f>
        <v>0.01</v>
      </c>
      <c r="E127" s="100">
        <f>D127+МРСК!F127</f>
        <v>6.91920002605222</v>
      </c>
      <c r="F127" s="77">
        <v>0</v>
      </c>
      <c r="G127" s="78"/>
      <c r="H127" s="79">
        <f t="shared" si="6"/>
        <v>6.91920002605222</v>
      </c>
      <c r="I127" s="79">
        <v>0</v>
      </c>
      <c r="J127" s="79">
        <f>МРСК!K127</f>
        <v>26.25</v>
      </c>
      <c r="K127" s="76">
        <f t="shared" si="8"/>
        <v>19.33079997394778</v>
      </c>
      <c r="L127" s="237"/>
      <c r="M127" s="81"/>
      <c r="N127" s="13">
        <v>1.05</v>
      </c>
      <c r="O127" s="47">
        <v>25</v>
      </c>
      <c r="Q127" s="13">
        <v>0</v>
      </c>
      <c r="R127" s="13">
        <v>0</v>
      </c>
    </row>
    <row r="128" spans="1:20" s="13" customFormat="1" ht="18.75" customHeight="1" thickBot="1" thickTop="1">
      <c r="A128" s="14">
        <v>65</v>
      </c>
      <c r="B128" s="210" t="s">
        <v>126</v>
      </c>
      <c r="C128" s="47" t="s">
        <v>3</v>
      </c>
      <c r="D128" s="145">
        <f>Q128</f>
        <v>2.9216</v>
      </c>
      <c r="E128" s="15">
        <f>D128+МРСК!F128</f>
        <v>15.393607456700785</v>
      </c>
      <c r="F128" s="46">
        <v>3.312</v>
      </c>
      <c r="G128" s="16">
        <v>45</v>
      </c>
      <c r="H128" s="46">
        <f t="shared" si="6"/>
        <v>12.081607456700786</v>
      </c>
      <c r="I128" s="15">
        <v>0</v>
      </c>
      <c r="J128" s="48">
        <f>МРСК!K128</f>
        <v>42</v>
      </c>
      <c r="K128" s="46">
        <f t="shared" si="8"/>
        <v>29.918392543299213</v>
      </c>
      <c r="L128" s="46">
        <f>MIN(K128:K128)</f>
        <v>29.918392543299213</v>
      </c>
      <c r="M128" s="34"/>
      <c r="N128" s="13">
        <v>1.05</v>
      </c>
      <c r="O128" s="47">
        <v>40</v>
      </c>
      <c r="Q128" s="13">
        <f>0.136+2.06+0.7256</f>
        <v>2.9216</v>
      </c>
      <c r="R128" s="13" t="s">
        <v>3</v>
      </c>
      <c r="T128" s="13">
        <v>80</v>
      </c>
    </row>
    <row r="129" spans="1:20" s="13" customFormat="1" ht="20.25" thickTop="1">
      <c r="A129" s="82">
        <v>66</v>
      </c>
      <c r="B129" s="210" t="s">
        <v>127</v>
      </c>
      <c r="C129" s="84" t="s">
        <v>4</v>
      </c>
      <c r="D129" s="136">
        <f t="shared" si="7"/>
        <v>0.045</v>
      </c>
      <c r="E129" s="101">
        <f>D129+МРСК!F129</f>
        <v>11.908183594634284</v>
      </c>
      <c r="F129" s="85">
        <v>10.36</v>
      </c>
      <c r="G129" s="86">
        <v>120</v>
      </c>
      <c r="H129" s="87">
        <f t="shared" si="6"/>
        <v>1.5481835946342848</v>
      </c>
      <c r="I129" s="87">
        <v>0</v>
      </c>
      <c r="J129" s="87">
        <f>МРСК!K129</f>
        <v>16.8</v>
      </c>
      <c r="K129" s="103">
        <f t="shared" si="8"/>
        <v>15.251816405365716</v>
      </c>
      <c r="L129" s="238">
        <f>MIN(K129:K131)</f>
        <v>15.251816405365716</v>
      </c>
      <c r="M129" s="88"/>
      <c r="N129" s="13">
        <v>1.05</v>
      </c>
      <c r="O129" s="47">
        <v>16</v>
      </c>
      <c r="Q129" s="13">
        <f>0.045</f>
        <v>0.045</v>
      </c>
      <c r="R129" s="13" t="s">
        <v>4</v>
      </c>
      <c r="T129" s="13">
        <v>32</v>
      </c>
    </row>
    <row r="130" spans="1:18" s="13" customFormat="1" ht="19.5">
      <c r="A130" s="14"/>
      <c r="B130" s="210" t="s">
        <v>59</v>
      </c>
      <c r="C130" s="8" t="s">
        <v>4</v>
      </c>
      <c r="D130" s="155">
        <f t="shared" si="7"/>
        <v>0</v>
      </c>
      <c r="E130" s="99">
        <f>D130+МРСК!F130</f>
        <v>7.7653103608291145</v>
      </c>
      <c r="F130" s="33">
        <v>7.562</v>
      </c>
      <c r="G130" s="47"/>
      <c r="H130" s="15">
        <f t="shared" si="6"/>
        <v>0.20331036082911425</v>
      </c>
      <c r="I130" s="15">
        <v>0</v>
      </c>
      <c r="J130" s="15">
        <f>МРСК!K130</f>
        <v>16.8</v>
      </c>
      <c r="K130" s="46">
        <f t="shared" si="8"/>
        <v>16.596689639170886</v>
      </c>
      <c r="L130" s="236"/>
      <c r="M130" s="34"/>
      <c r="N130" s="13">
        <v>1.05</v>
      </c>
      <c r="O130" s="47">
        <v>16</v>
      </c>
      <c r="Q130" s="13">
        <v>0</v>
      </c>
      <c r="R130" s="13">
        <v>0</v>
      </c>
    </row>
    <row r="131" spans="1:18" s="13" customFormat="1" ht="20.25" thickBot="1">
      <c r="A131" s="74"/>
      <c r="B131" s="210" t="s">
        <v>60</v>
      </c>
      <c r="C131" s="75" t="s">
        <v>4</v>
      </c>
      <c r="D131" s="156">
        <f>D129</f>
        <v>0.045</v>
      </c>
      <c r="E131" s="100">
        <f>D131+МРСК!F131</f>
        <v>4.142873838956002</v>
      </c>
      <c r="F131" s="77">
        <v>2.797999999999999</v>
      </c>
      <c r="G131" s="78"/>
      <c r="H131" s="79">
        <f t="shared" si="6"/>
        <v>1.344873838956003</v>
      </c>
      <c r="I131" s="79">
        <v>0</v>
      </c>
      <c r="J131" s="79">
        <f>МРСК!K131</f>
        <v>16.8</v>
      </c>
      <c r="K131" s="76">
        <f t="shared" si="8"/>
        <v>15.455126161043998</v>
      </c>
      <c r="L131" s="237"/>
      <c r="M131" s="81"/>
      <c r="N131" s="13">
        <v>1.05</v>
      </c>
      <c r="O131" s="47">
        <v>16</v>
      </c>
      <c r="Q131" s="13">
        <v>0</v>
      </c>
      <c r="R131" s="13">
        <v>0</v>
      </c>
    </row>
    <row r="132" spans="1:20" s="13" customFormat="1" ht="20.25" thickTop="1">
      <c r="A132" s="82">
        <v>67</v>
      </c>
      <c r="B132" s="210" t="s">
        <v>128</v>
      </c>
      <c r="C132" s="84" t="s">
        <v>11</v>
      </c>
      <c r="D132" s="136">
        <f t="shared" si="7"/>
        <v>0.272</v>
      </c>
      <c r="E132" s="101">
        <f>D132+МРСК!F132</f>
        <v>29.285450708249094</v>
      </c>
      <c r="F132" s="85">
        <v>0</v>
      </c>
      <c r="G132" s="86"/>
      <c r="H132" s="87">
        <f t="shared" si="6"/>
        <v>29.285450708249094</v>
      </c>
      <c r="I132" s="87">
        <v>0</v>
      </c>
      <c r="J132" s="87">
        <f>МРСК!K132</f>
        <v>47.25</v>
      </c>
      <c r="K132" s="103">
        <f t="shared" si="8"/>
        <v>17.964549291750906</v>
      </c>
      <c r="L132" s="238">
        <f>MIN(K132:K134)</f>
        <v>17.964549291750906</v>
      </c>
      <c r="M132" s="88"/>
      <c r="N132" s="13">
        <v>1.05</v>
      </c>
      <c r="O132" s="47">
        <v>45</v>
      </c>
      <c r="Q132" s="13">
        <f>0.01+0.072+0.19</f>
        <v>0.272</v>
      </c>
      <c r="R132" s="13" t="s">
        <v>11</v>
      </c>
      <c r="T132" s="13">
        <v>70</v>
      </c>
    </row>
    <row r="133" spans="1:18" s="13" customFormat="1" ht="19.5">
      <c r="A133" s="14"/>
      <c r="B133" s="210" t="s">
        <v>59</v>
      </c>
      <c r="C133" s="8" t="s">
        <v>11</v>
      </c>
      <c r="D133" s="155">
        <f t="shared" si="7"/>
        <v>0</v>
      </c>
      <c r="E133" s="99">
        <f>D133+МРСК!F133</f>
        <v>5.777763061947072</v>
      </c>
      <c r="F133" s="33">
        <v>0</v>
      </c>
      <c r="G133" s="47"/>
      <c r="H133" s="15">
        <f t="shared" si="6"/>
        <v>5.777763061947072</v>
      </c>
      <c r="I133" s="15">
        <v>0</v>
      </c>
      <c r="J133" s="15">
        <f>МРСК!K133</f>
        <v>47.25</v>
      </c>
      <c r="K133" s="46">
        <f t="shared" si="8"/>
        <v>41.47223693805293</v>
      </c>
      <c r="L133" s="236"/>
      <c r="M133" s="34"/>
      <c r="N133" s="13">
        <v>1.05</v>
      </c>
      <c r="O133" s="47">
        <v>45</v>
      </c>
      <c r="Q133" s="13">
        <v>0</v>
      </c>
      <c r="R133" s="13">
        <v>0</v>
      </c>
    </row>
    <row r="134" spans="1:18" s="13" customFormat="1" ht="20.25" thickBot="1">
      <c r="A134" s="74"/>
      <c r="B134" s="210" t="s">
        <v>60</v>
      </c>
      <c r="C134" s="75" t="s">
        <v>11</v>
      </c>
      <c r="D134" s="156">
        <f>D132</f>
        <v>0.272</v>
      </c>
      <c r="E134" s="100">
        <f>D134+МРСК!F134</f>
        <v>23.516020306306736</v>
      </c>
      <c r="F134" s="77">
        <v>0</v>
      </c>
      <c r="G134" s="78"/>
      <c r="H134" s="79">
        <f t="shared" si="6"/>
        <v>23.516020306306736</v>
      </c>
      <c r="I134" s="79">
        <v>0</v>
      </c>
      <c r="J134" s="79">
        <f>МРСК!K134</f>
        <v>47.25</v>
      </c>
      <c r="K134" s="76">
        <f t="shared" si="8"/>
        <v>23.733979693693264</v>
      </c>
      <c r="L134" s="237"/>
      <c r="M134" s="81"/>
      <c r="N134" s="13">
        <v>1.05</v>
      </c>
      <c r="O134" s="47">
        <v>45</v>
      </c>
      <c r="Q134" s="13">
        <v>0</v>
      </c>
      <c r="R134" s="13">
        <v>0</v>
      </c>
    </row>
    <row r="135" spans="1:20" s="13" customFormat="1" ht="20.25" thickTop="1">
      <c r="A135" s="82">
        <v>68</v>
      </c>
      <c r="B135" s="210" t="s">
        <v>129</v>
      </c>
      <c r="C135" s="84" t="s">
        <v>4</v>
      </c>
      <c r="D135" s="136">
        <f t="shared" si="7"/>
        <v>0.36285</v>
      </c>
      <c r="E135" s="101">
        <f>D135+МРСК!F135</f>
        <v>6.668091073900347</v>
      </c>
      <c r="F135" s="85">
        <v>2.23</v>
      </c>
      <c r="G135" s="86">
        <v>80</v>
      </c>
      <c r="H135" s="87">
        <f t="shared" si="6"/>
        <v>4.438091073900347</v>
      </c>
      <c r="I135" s="87">
        <v>0</v>
      </c>
      <c r="J135" s="87">
        <f>МРСК!K135</f>
        <v>16.8</v>
      </c>
      <c r="K135" s="103">
        <f t="shared" si="8"/>
        <v>12.361908926099654</v>
      </c>
      <c r="L135" s="238">
        <f>MIN(K135:K137)</f>
        <v>3.994646432842785</v>
      </c>
      <c r="M135" s="88"/>
      <c r="N135" s="13">
        <v>1.05</v>
      </c>
      <c r="O135" s="47">
        <v>16</v>
      </c>
      <c r="Q135" s="13">
        <f>0.2396+0.07+0.05325</f>
        <v>0.36285</v>
      </c>
      <c r="R135" s="13" t="s">
        <v>4</v>
      </c>
      <c r="T135" s="13">
        <v>32</v>
      </c>
    </row>
    <row r="136" spans="1:18" s="13" customFormat="1" ht="19.5">
      <c r="A136" s="14"/>
      <c r="B136" s="210" t="s">
        <v>59</v>
      </c>
      <c r="C136" s="8" t="s">
        <v>30</v>
      </c>
      <c r="D136" s="155">
        <f t="shared" si="7"/>
        <v>0</v>
      </c>
      <c r="E136" s="99">
        <f>D136+МРСК!F136</f>
        <v>0.09525754563287887</v>
      </c>
      <c r="F136" s="33">
        <v>0</v>
      </c>
      <c r="G136" s="47"/>
      <c r="H136" s="15">
        <f t="shared" si="6"/>
        <v>0.09525754563287887</v>
      </c>
      <c r="I136" s="15">
        <v>0</v>
      </c>
      <c r="J136" s="15">
        <f>МРСК!K136</f>
        <v>8.4</v>
      </c>
      <c r="K136" s="46">
        <f t="shared" si="8"/>
        <v>8.30474245436712</v>
      </c>
      <c r="L136" s="236"/>
      <c r="M136" s="34"/>
      <c r="N136" s="13">
        <v>1.05</v>
      </c>
      <c r="O136" s="47">
        <v>8</v>
      </c>
      <c r="Q136" s="13">
        <v>0</v>
      </c>
      <c r="R136" s="13">
        <v>0</v>
      </c>
    </row>
    <row r="137" spans="1:18" s="13" customFormat="1" ht="20.25" thickBot="1">
      <c r="A137" s="74"/>
      <c r="B137" s="210" t="s">
        <v>60</v>
      </c>
      <c r="C137" s="75" t="s">
        <v>30</v>
      </c>
      <c r="D137" s="156">
        <f>D135</f>
        <v>0.36285</v>
      </c>
      <c r="E137" s="100">
        <f>D137+МРСК!F137</f>
        <v>6.635353567157216</v>
      </c>
      <c r="F137" s="77">
        <v>2.23</v>
      </c>
      <c r="G137" s="78"/>
      <c r="H137" s="79">
        <f t="shared" si="6"/>
        <v>4.405353567157215</v>
      </c>
      <c r="I137" s="79">
        <v>0</v>
      </c>
      <c r="J137" s="79">
        <f>МРСК!K137</f>
        <v>8.4</v>
      </c>
      <c r="K137" s="76">
        <f t="shared" si="8"/>
        <v>3.994646432842785</v>
      </c>
      <c r="L137" s="237"/>
      <c r="M137" s="81"/>
      <c r="N137" s="13">
        <v>1.05</v>
      </c>
      <c r="O137" s="47">
        <v>8</v>
      </c>
      <c r="Q137" s="13">
        <v>0</v>
      </c>
      <c r="R137" s="13">
        <v>0</v>
      </c>
    </row>
    <row r="138" spans="1:20" s="13" customFormat="1" ht="21" thickBot="1" thickTop="1">
      <c r="A138" s="14">
        <v>69</v>
      </c>
      <c r="B138" s="210" t="s">
        <v>130</v>
      </c>
      <c r="C138" s="47" t="s">
        <v>6</v>
      </c>
      <c r="D138" s="145">
        <f t="shared" si="7"/>
        <v>0.587</v>
      </c>
      <c r="E138" s="15">
        <f>D138+МРСК!F138</f>
        <v>16.33642138619702</v>
      </c>
      <c r="F138" s="46">
        <v>0</v>
      </c>
      <c r="G138" s="16"/>
      <c r="H138" s="46">
        <f t="shared" si="6"/>
        <v>16.33642138619702</v>
      </c>
      <c r="I138" s="15">
        <v>0</v>
      </c>
      <c r="J138" s="48">
        <f>МРСК!K138</f>
        <v>15.75</v>
      </c>
      <c r="K138" s="46">
        <f t="shared" si="8"/>
        <v>-0.5864213861970207</v>
      </c>
      <c r="L138" s="46">
        <f>K138</f>
        <v>-0.5864213861970207</v>
      </c>
      <c r="M138" s="34"/>
      <c r="N138" s="13">
        <v>1.05</v>
      </c>
      <c r="O138" s="47">
        <v>15</v>
      </c>
      <c r="Q138" s="13">
        <f>0.07+0.517</f>
        <v>0.587</v>
      </c>
      <c r="R138" s="13" t="s">
        <v>6</v>
      </c>
      <c r="T138" s="13">
        <v>30</v>
      </c>
    </row>
    <row r="139" spans="1:20" s="13" customFormat="1" ht="20.25" thickTop="1">
      <c r="A139" s="82">
        <v>70</v>
      </c>
      <c r="B139" s="210" t="s">
        <v>131</v>
      </c>
      <c r="C139" s="84" t="s">
        <v>4</v>
      </c>
      <c r="D139" s="136">
        <f>D141</f>
        <v>0.09</v>
      </c>
      <c r="E139" s="101">
        <f>D139+МРСК!F139</f>
        <v>13.341467088590607</v>
      </c>
      <c r="F139" s="85">
        <v>3.46</v>
      </c>
      <c r="G139" s="86">
        <v>45</v>
      </c>
      <c r="H139" s="87">
        <f t="shared" si="6"/>
        <v>9.881467088590608</v>
      </c>
      <c r="I139" s="87">
        <v>0</v>
      </c>
      <c r="J139" s="87">
        <f>МРСК!K139</f>
        <v>16.8</v>
      </c>
      <c r="K139" s="103">
        <f t="shared" si="8"/>
        <v>6.918532911409393</v>
      </c>
      <c r="L139" s="238">
        <f>MIN(K139:K141)</f>
        <v>6.918532911409393</v>
      </c>
      <c r="M139" s="88"/>
      <c r="N139" s="13">
        <v>1.05</v>
      </c>
      <c r="O139" s="47">
        <v>16</v>
      </c>
      <c r="R139" s="13" t="s">
        <v>4</v>
      </c>
      <c r="T139" s="13">
        <v>32</v>
      </c>
    </row>
    <row r="140" spans="1:18" s="13" customFormat="1" ht="19.5">
      <c r="A140" s="14"/>
      <c r="B140" s="210" t="s">
        <v>59</v>
      </c>
      <c r="C140" s="8" t="s">
        <v>4</v>
      </c>
      <c r="D140" s="155">
        <f aca="true" t="shared" si="9" ref="D140:D203">Q140</f>
        <v>0</v>
      </c>
      <c r="E140" s="99">
        <f>D140+МРСК!F140</f>
        <v>4.865500590895041</v>
      </c>
      <c r="F140" s="33">
        <v>3.46</v>
      </c>
      <c r="G140" s="47"/>
      <c r="H140" s="15">
        <f aca="true" t="shared" si="10" ref="H140:H203">E140-F140</f>
        <v>1.4055005908950413</v>
      </c>
      <c r="I140" s="15">
        <v>0</v>
      </c>
      <c r="J140" s="15">
        <f>МРСК!K140</f>
        <v>16.8</v>
      </c>
      <c r="K140" s="46">
        <f t="shared" si="8"/>
        <v>15.39449940910496</v>
      </c>
      <c r="L140" s="236"/>
      <c r="M140" s="34"/>
      <c r="N140" s="13">
        <v>1.05</v>
      </c>
      <c r="O140" s="47">
        <v>16</v>
      </c>
      <c r="Q140" s="13">
        <v>0</v>
      </c>
      <c r="R140" s="13">
        <v>0</v>
      </c>
    </row>
    <row r="141" spans="1:18" s="13" customFormat="1" ht="20.25" thickBot="1">
      <c r="A141" s="74"/>
      <c r="B141" s="210" t="s">
        <v>60</v>
      </c>
      <c r="C141" s="75" t="s">
        <v>4</v>
      </c>
      <c r="D141" s="156">
        <f>Q141</f>
        <v>0.09</v>
      </c>
      <c r="E141" s="100">
        <f>D141+МРСК!F141</f>
        <v>8.47605437616523</v>
      </c>
      <c r="F141" s="77">
        <v>0</v>
      </c>
      <c r="G141" s="78"/>
      <c r="H141" s="79">
        <f t="shared" si="10"/>
        <v>8.47605437616523</v>
      </c>
      <c r="I141" s="79">
        <v>0</v>
      </c>
      <c r="J141" s="79">
        <f>МРСК!K141</f>
        <v>16.8</v>
      </c>
      <c r="K141" s="76">
        <f t="shared" si="8"/>
        <v>8.32394562383477</v>
      </c>
      <c r="L141" s="237"/>
      <c r="M141" s="81"/>
      <c r="N141" s="13">
        <v>1.05</v>
      </c>
      <c r="O141" s="47">
        <v>16</v>
      </c>
      <c r="Q141" s="13">
        <f>0.06+0.03</f>
        <v>0.09</v>
      </c>
      <c r="R141" s="13">
        <v>0</v>
      </c>
    </row>
    <row r="142" spans="1:20" s="13" customFormat="1" ht="20.25" thickTop="1">
      <c r="A142" s="14">
        <v>71</v>
      </c>
      <c r="B142" s="210" t="s">
        <v>132</v>
      </c>
      <c r="C142" s="47" t="s">
        <v>5</v>
      </c>
      <c r="D142" s="145">
        <f t="shared" si="9"/>
        <v>0.055</v>
      </c>
      <c r="E142" s="15">
        <f>D142+МРСК!F142</f>
        <v>9.250611127054036</v>
      </c>
      <c r="F142" s="46">
        <v>5.56</v>
      </c>
      <c r="G142" s="16">
        <v>45</v>
      </c>
      <c r="H142" s="46">
        <f t="shared" si="10"/>
        <v>3.6906111270540363</v>
      </c>
      <c r="I142" s="15">
        <v>0</v>
      </c>
      <c r="J142" s="48">
        <f>МРСК!K142</f>
        <v>33.6</v>
      </c>
      <c r="K142" s="46">
        <f t="shared" si="8"/>
        <v>29.909388872945964</v>
      </c>
      <c r="L142" s="46">
        <f>MIN(K142:K142)</f>
        <v>29.909388872945964</v>
      </c>
      <c r="M142" s="34"/>
      <c r="N142" s="13">
        <v>1.05</v>
      </c>
      <c r="O142" s="47">
        <v>32</v>
      </c>
      <c r="Q142" s="13">
        <v>0.055</v>
      </c>
      <c r="R142" s="13" t="s">
        <v>5</v>
      </c>
      <c r="T142" s="13">
        <v>64</v>
      </c>
    </row>
    <row r="143" spans="1:20" s="13" customFormat="1" ht="20.25" thickBot="1">
      <c r="A143" s="14">
        <v>72</v>
      </c>
      <c r="B143" s="210" t="s">
        <v>133</v>
      </c>
      <c r="C143" s="47" t="s">
        <v>3</v>
      </c>
      <c r="D143" s="145">
        <f t="shared" si="9"/>
        <v>0.8260000000000001</v>
      </c>
      <c r="E143" s="15">
        <f>D143+МРСК!F143</f>
        <v>32.513968316065956</v>
      </c>
      <c r="F143" s="46">
        <v>0</v>
      </c>
      <c r="G143" s="16"/>
      <c r="H143" s="46">
        <f t="shared" si="10"/>
        <v>32.513968316065956</v>
      </c>
      <c r="I143" s="15">
        <v>0</v>
      </c>
      <c r="J143" s="48">
        <f>МРСК!K143</f>
        <v>42</v>
      </c>
      <c r="K143" s="46">
        <f t="shared" si="8"/>
        <v>9.486031683934044</v>
      </c>
      <c r="L143" s="46">
        <f>MIN(K143:K143)</f>
        <v>9.486031683934044</v>
      </c>
      <c r="M143" s="34"/>
      <c r="N143" s="13">
        <v>1.05</v>
      </c>
      <c r="O143" s="47">
        <v>40</v>
      </c>
      <c r="Q143" s="13">
        <f>0.25+0.318+0.258</f>
        <v>0.8260000000000001</v>
      </c>
      <c r="R143" s="13" t="s">
        <v>3</v>
      </c>
      <c r="T143" s="13">
        <v>80</v>
      </c>
    </row>
    <row r="144" spans="1:20" s="13" customFormat="1" ht="20.25" thickTop="1">
      <c r="A144" s="82">
        <v>73</v>
      </c>
      <c r="B144" s="210" t="s">
        <v>134</v>
      </c>
      <c r="C144" s="84" t="s">
        <v>1</v>
      </c>
      <c r="D144" s="136">
        <f t="shared" si="9"/>
        <v>0.014</v>
      </c>
      <c r="E144" s="101">
        <f>D144+МРСК!F144</f>
        <v>24.734050566291323</v>
      </c>
      <c r="F144" s="85">
        <v>20.54</v>
      </c>
      <c r="G144" s="86">
        <v>80</v>
      </c>
      <c r="H144" s="87">
        <f t="shared" si="10"/>
        <v>4.194050566291324</v>
      </c>
      <c r="I144" s="87">
        <v>0</v>
      </c>
      <c r="J144" s="87">
        <f>МРСК!K144</f>
        <v>26.25</v>
      </c>
      <c r="K144" s="103">
        <f t="shared" si="8"/>
        <v>22.055949433708676</v>
      </c>
      <c r="L144" s="238">
        <f>MIN(K144:K146)</f>
        <v>22.055949433708676</v>
      </c>
      <c r="M144" s="88"/>
      <c r="N144" s="13">
        <v>1.05</v>
      </c>
      <c r="O144" s="47">
        <v>25</v>
      </c>
      <c r="Q144" s="13">
        <f>0.014</f>
        <v>0.014</v>
      </c>
      <c r="R144" s="13" t="s">
        <v>1</v>
      </c>
      <c r="T144" s="13">
        <v>50</v>
      </c>
    </row>
    <row r="145" spans="1:18" s="13" customFormat="1" ht="19.5">
      <c r="A145" s="14"/>
      <c r="B145" s="210" t="s">
        <v>59</v>
      </c>
      <c r="C145" s="8" t="s">
        <v>1</v>
      </c>
      <c r="D145" s="155">
        <f t="shared" si="9"/>
        <v>0</v>
      </c>
      <c r="E145" s="99">
        <f>D145+МРСК!F145</f>
        <v>22.915536760023755</v>
      </c>
      <c r="F145" s="33">
        <v>19.676</v>
      </c>
      <c r="G145" s="47"/>
      <c r="H145" s="15">
        <f t="shared" si="10"/>
        <v>3.239536760023757</v>
      </c>
      <c r="I145" s="15">
        <v>0</v>
      </c>
      <c r="J145" s="15">
        <f>МРСК!K145</f>
        <v>26.25</v>
      </c>
      <c r="K145" s="46">
        <f t="shared" si="8"/>
        <v>23.010463239976243</v>
      </c>
      <c r="L145" s="236"/>
      <c r="M145" s="34"/>
      <c r="N145" s="13">
        <v>1.05</v>
      </c>
      <c r="O145" s="47">
        <v>25</v>
      </c>
      <c r="Q145" s="13">
        <v>0</v>
      </c>
      <c r="R145" s="13">
        <v>0</v>
      </c>
    </row>
    <row r="146" spans="1:18" s="13" customFormat="1" ht="20.25" thickBot="1">
      <c r="A146" s="74"/>
      <c r="B146" s="210" t="s">
        <v>60</v>
      </c>
      <c r="C146" s="75" t="s">
        <v>1</v>
      </c>
      <c r="D146" s="156">
        <f t="shared" si="9"/>
        <v>0</v>
      </c>
      <c r="E146" s="100">
        <f>D146+МРСК!F146</f>
        <v>1.818617331931047</v>
      </c>
      <c r="F146" s="77">
        <v>0</v>
      </c>
      <c r="G146" s="78"/>
      <c r="H146" s="79">
        <f t="shared" si="10"/>
        <v>1.818617331931047</v>
      </c>
      <c r="I146" s="79">
        <v>0</v>
      </c>
      <c r="J146" s="79">
        <f>МРСК!K146</f>
        <v>26.25</v>
      </c>
      <c r="K146" s="76">
        <f t="shared" si="8"/>
        <v>24.431382668068952</v>
      </c>
      <c r="L146" s="237"/>
      <c r="M146" s="81"/>
      <c r="N146" s="13">
        <v>1.05</v>
      </c>
      <c r="O146" s="47">
        <v>25</v>
      </c>
      <c r="Q146" s="13">
        <v>0</v>
      </c>
      <c r="R146" s="13">
        <v>0</v>
      </c>
    </row>
    <row r="147" spans="1:20" s="13" customFormat="1" ht="21" thickBot="1" thickTop="1">
      <c r="A147" s="82">
        <v>74</v>
      </c>
      <c r="B147" s="210" t="s">
        <v>135</v>
      </c>
      <c r="C147" s="84" t="s">
        <v>4</v>
      </c>
      <c r="D147" s="136">
        <f t="shared" si="9"/>
        <v>0.206</v>
      </c>
      <c r="E147" s="101">
        <f>D147+МРСК!F147</f>
        <v>17.61350533534314</v>
      </c>
      <c r="F147" s="85">
        <v>5.969</v>
      </c>
      <c r="G147" s="86">
        <v>120</v>
      </c>
      <c r="H147" s="87">
        <f t="shared" si="10"/>
        <v>11.64450533534314</v>
      </c>
      <c r="I147" s="87">
        <v>0</v>
      </c>
      <c r="J147" s="87">
        <f>МРСК!K147</f>
        <v>16.8</v>
      </c>
      <c r="K147" s="103">
        <f t="shared" si="8"/>
        <v>5.15549466465686</v>
      </c>
      <c r="L147" s="238">
        <f>MIN(K147:K149)</f>
        <v>5.15549466465686</v>
      </c>
      <c r="M147" s="88"/>
      <c r="N147" s="13">
        <v>1.05</v>
      </c>
      <c r="O147" s="47">
        <v>16</v>
      </c>
      <c r="Q147" s="13">
        <v>0.206</v>
      </c>
      <c r="R147" s="13" t="s">
        <v>4</v>
      </c>
      <c r="T147" s="13">
        <v>32</v>
      </c>
    </row>
    <row r="148" spans="1:18" s="13" customFormat="1" ht="21" thickBot="1" thickTop="1">
      <c r="A148" s="14"/>
      <c r="B148" s="210" t="s">
        <v>59</v>
      </c>
      <c r="C148" s="84" t="s">
        <v>4</v>
      </c>
      <c r="D148" s="155">
        <f t="shared" si="9"/>
        <v>0</v>
      </c>
      <c r="E148" s="99">
        <f>D148+МРСК!F148</f>
        <v>8.061228194264197</v>
      </c>
      <c r="F148" s="33">
        <v>5.969</v>
      </c>
      <c r="G148" s="47"/>
      <c r="H148" s="15">
        <f t="shared" si="10"/>
        <v>2.092228194264197</v>
      </c>
      <c r="I148" s="15">
        <v>0</v>
      </c>
      <c r="J148" s="15">
        <f>МРСК!K148</f>
        <v>16.8</v>
      </c>
      <c r="K148" s="46">
        <f t="shared" si="8"/>
        <v>14.707771805735803</v>
      </c>
      <c r="L148" s="236"/>
      <c r="M148" s="34"/>
      <c r="N148" s="13">
        <v>1.05</v>
      </c>
      <c r="O148" s="47">
        <v>16</v>
      </c>
      <c r="Q148" s="13">
        <v>0</v>
      </c>
      <c r="R148" s="13">
        <v>0</v>
      </c>
    </row>
    <row r="149" spans="1:18" s="13" customFormat="1" ht="21" thickBot="1" thickTop="1">
      <c r="A149" s="74"/>
      <c r="B149" s="210" t="s">
        <v>60</v>
      </c>
      <c r="C149" s="84" t="s">
        <v>4</v>
      </c>
      <c r="D149" s="156">
        <f>D147</f>
        <v>0.206</v>
      </c>
      <c r="E149" s="100">
        <f>D149+МРСК!F149</f>
        <v>9.567740116025439</v>
      </c>
      <c r="F149" s="77">
        <v>0</v>
      </c>
      <c r="G149" s="78"/>
      <c r="H149" s="79">
        <f t="shared" si="10"/>
        <v>9.567740116025439</v>
      </c>
      <c r="I149" s="79">
        <v>0</v>
      </c>
      <c r="J149" s="79">
        <f>МРСК!K149</f>
        <v>16.8</v>
      </c>
      <c r="K149" s="76">
        <f t="shared" si="8"/>
        <v>7.232259883974562</v>
      </c>
      <c r="L149" s="237"/>
      <c r="M149" s="81"/>
      <c r="N149" s="13">
        <v>1.05</v>
      </c>
      <c r="O149" s="47">
        <v>16</v>
      </c>
      <c r="Q149" s="13">
        <v>0</v>
      </c>
      <c r="R149" s="13">
        <v>0</v>
      </c>
    </row>
    <row r="150" spans="1:20" s="13" customFormat="1" ht="20.25" thickTop="1">
      <c r="A150" s="82">
        <v>75</v>
      </c>
      <c r="B150" s="210" t="s">
        <v>136</v>
      </c>
      <c r="C150" s="84" t="s">
        <v>3</v>
      </c>
      <c r="D150" s="136">
        <f t="shared" si="9"/>
        <v>0.14900000000000002</v>
      </c>
      <c r="E150" s="101">
        <f>D150+МРСК!F150</f>
        <v>30.261332423776146</v>
      </c>
      <c r="F150" s="85">
        <v>16.65</v>
      </c>
      <c r="G150" s="86">
        <v>120</v>
      </c>
      <c r="H150" s="87">
        <f t="shared" si="10"/>
        <v>13.611332423776147</v>
      </c>
      <c r="I150" s="87">
        <v>0</v>
      </c>
      <c r="J150" s="87">
        <f>МРСК!K150</f>
        <v>42</v>
      </c>
      <c r="K150" s="103">
        <f t="shared" si="8"/>
        <v>28.388667576223853</v>
      </c>
      <c r="L150" s="238">
        <f>MIN(K150:K152)</f>
        <v>28.388667576223853</v>
      </c>
      <c r="M150" s="88"/>
      <c r="N150" s="13">
        <v>1.05</v>
      </c>
      <c r="O150" s="47">
        <v>40</v>
      </c>
      <c r="Q150" s="13">
        <f>0.015+0.134</f>
        <v>0.14900000000000002</v>
      </c>
      <c r="R150" s="13" t="s">
        <v>3</v>
      </c>
      <c r="T150" s="13">
        <v>80</v>
      </c>
    </row>
    <row r="151" spans="1:18" s="13" customFormat="1" ht="19.5">
      <c r="A151" s="14"/>
      <c r="B151" s="210" t="s">
        <v>59</v>
      </c>
      <c r="C151" s="8" t="s">
        <v>3</v>
      </c>
      <c r="D151" s="155">
        <f t="shared" si="9"/>
        <v>0</v>
      </c>
      <c r="E151" s="99">
        <f>D151+МРСК!F151</f>
        <v>17.434307327794816</v>
      </c>
      <c r="F151" s="33">
        <v>11.682</v>
      </c>
      <c r="G151" s="47"/>
      <c r="H151" s="15">
        <f t="shared" si="10"/>
        <v>5.752307327794815</v>
      </c>
      <c r="I151" s="15">
        <v>0</v>
      </c>
      <c r="J151" s="15">
        <f>МРСК!K151</f>
        <v>42</v>
      </c>
      <c r="K151" s="46">
        <f t="shared" si="8"/>
        <v>36.24769267220518</v>
      </c>
      <c r="L151" s="236"/>
      <c r="M151" s="34"/>
      <c r="N151" s="13">
        <v>1.05</v>
      </c>
      <c r="O151" s="47">
        <v>40</v>
      </c>
      <c r="Q151" s="13">
        <v>0</v>
      </c>
      <c r="R151" s="13">
        <v>0</v>
      </c>
    </row>
    <row r="152" spans="1:18" s="13" customFormat="1" ht="20.25" thickBot="1">
      <c r="A152" s="74"/>
      <c r="B152" s="210" t="s">
        <v>60</v>
      </c>
      <c r="C152" s="75" t="s">
        <v>3</v>
      </c>
      <c r="D152" s="156">
        <f>D150</f>
        <v>0.14900000000000002</v>
      </c>
      <c r="E152" s="100">
        <f>D152+МРСК!F152</f>
        <v>12.86142116986375</v>
      </c>
      <c r="F152" s="77">
        <v>4.967999999999998</v>
      </c>
      <c r="G152" s="78"/>
      <c r="H152" s="79">
        <f t="shared" si="10"/>
        <v>7.8934211698637515</v>
      </c>
      <c r="I152" s="79">
        <v>0</v>
      </c>
      <c r="J152" s="79">
        <f>МРСК!K152</f>
        <v>42</v>
      </c>
      <c r="K152" s="76">
        <f t="shared" si="8"/>
        <v>34.10657883013625</v>
      </c>
      <c r="L152" s="237"/>
      <c r="M152" s="81"/>
      <c r="N152" s="13">
        <v>1.05</v>
      </c>
      <c r="O152" s="47">
        <v>40</v>
      </c>
      <c r="Q152" s="13">
        <v>0</v>
      </c>
      <c r="R152" s="13">
        <v>0</v>
      </c>
    </row>
    <row r="153" spans="1:20" s="13" customFormat="1" ht="21" thickBot="1" thickTop="1">
      <c r="A153" s="14">
        <v>76</v>
      </c>
      <c r="B153" s="210" t="s">
        <v>137</v>
      </c>
      <c r="C153" s="47" t="s">
        <v>10</v>
      </c>
      <c r="D153" s="145">
        <f t="shared" si="9"/>
        <v>0.038</v>
      </c>
      <c r="E153" s="15">
        <f>D153+МРСК!F153</f>
        <v>2.5637198973757958</v>
      </c>
      <c r="F153" s="46">
        <v>0</v>
      </c>
      <c r="G153" s="16"/>
      <c r="H153" s="46">
        <f t="shared" si="10"/>
        <v>2.5637198973757958</v>
      </c>
      <c r="I153" s="15">
        <v>0</v>
      </c>
      <c r="J153" s="48">
        <f>МРСК!K153</f>
        <v>3.3600000000000003</v>
      </c>
      <c r="K153" s="46">
        <f t="shared" si="8"/>
        <v>0.7962801026242046</v>
      </c>
      <c r="L153" s="46">
        <f>K153</f>
        <v>0.7962801026242046</v>
      </c>
      <c r="M153" s="34"/>
      <c r="N153" s="13">
        <v>1.05</v>
      </c>
      <c r="O153" s="47">
        <v>3.2</v>
      </c>
      <c r="Q153" s="13">
        <v>0.038</v>
      </c>
      <c r="R153" s="13" t="s">
        <v>10</v>
      </c>
      <c r="T153" s="13">
        <v>13.2</v>
      </c>
    </row>
    <row r="154" spans="1:20" s="13" customFormat="1" ht="20.25" thickTop="1">
      <c r="A154" s="82">
        <v>77</v>
      </c>
      <c r="B154" s="210" t="s">
        <v>138</v>
      </c>
      <c r="C154" s="84" t="s">
        <v>3</v>
      </c>
      <c r="D154" s="136">
        <f>Q154</f>
        <v>1.73</v>
      </c>
      <c r="E154" s="101">
        <f>D154+МРСК!F154</f>
        <v>47.77294799423685</v>
      </c>
      <c r="F154" s="85">
        <v>12.94</v>
      </c>
      <c r="G154" s="86">
        <v>120</v>
      </c>
      <c r="H154" s="87">
        <f t="shared" si="10"/>
        <v>34.832947994236854</v>
      </c>
      <c r="I154" s="87">
        <v>0</v>
      </c>
      <c r="J154" s="87">
        <f>МРСК!K154</f>
        <v>42</v>
      </c>
      <c r="K154" s="103">
        <f t="shared" si="8"/>
        <v>7.167052005763146</v>
      </c>
      <c r="L154" s="238">
        <f>MIN(K154:K156)</f>
        <v>7.167052005763146</v>
      </c>
      <c r="M154" s="88"/>
      <c r="N154" s="13">
        <v>1.05</v>
      </c>
      <c r="O154" s="47">
        <v>40</v>
      </c>
      <c r="Q154" s="13">
        <f>0.01+1.002+0.718</f>
        <v>1.73</v>
      </c>
      <c r="R154" s="13" t="s">
        <v>3</v>
      </c>
      <c r="T154" s="13">
        <v>80</v>
      </c>
    </row>
    <row r="155" spans="1:18" s="13" customFormat="1" ht="19.5">
      <c r="A155" s="14"/>
      <c r="B155" s="210" t="s">
        <v>59</v>
      </c>
      <c r="C155" s="8" t="s">
        <v>3</v>
      </c>
      <c r="D155" s="155">
        <f t="shared" si="9"/>
        <v>0</v>
      </c>
      <c r="E155" s="99">
        <f>D155+МРСК!F155</f>
        <v>7.236716382448603</v>
      </c>
      <c r="F155" s="33">
        <v>3.42</v>
      </c>
      <c r="G155" s="47"/>
      <c r="H155" s="15">
        <f t="shared" si="10"/>
        <v>3.816716382448603</v>
      </c>
      <c r="I155" s="15">
        <v>0</v>
      </c>
      <c r="J155" s="15">
        <f>МРСК!K155</f>
        <v>42</v>
      </c>
      <c r="K155" s="46">
        <f t="shared" si="8"/>
        <v>38.183283617551396</v>
      </c>
      <c r="L155" s="236"/>
      <c r="M155" s="34"/>
      <c r="N155" s="13">
        <v>1.05</v>
      </c>
      <c r="O155" s="47">
        <v>40</v>
      </c>
      <c r="Q155" s="13">
        <v>0</v>
      </c>
      <c r="R155" s="13">
        <v>0</v>
      </c>
    </row>
    <row r="156" spans="1:18" s="13" customFormat="1" ht="20.25" thickBot="1">
      <c r="A156" s="74"/>
      <c r="B156" s="210" t="s">
        <v>60</v>
      </c>
      <c r="C156" s="75" t="s">
        <v>3</v>
      </c>
      <c r="D156" s="156">
        <f>D154</f>
        <v>1.73</v>
      </c>
      <c r="E156" s="100">
        <f>D156+МРСК!F156</f>
        <v>40.555566061552796</v>
      </c>
      <c r="F156" s="77">
        <v>9.52</v>
      </c>
      <c r="G156" s="78"/>
      <c r="H156" s="79">
        <f t="shared" si="10"/>
        <v>31.035566061552796</v>
      </c>
      <c r="I156" s="79">
        <v>0</v>
      </c>
      <c r="J156" s="79">
        <f>МРСК!K156</f>
        <v>42</v>
      </c>
      <c r="K156" s="76">
        <f t="shared" si="8"/>
        <v>10.964433938447204</v>
      </c>
      <c r="L156" s="237"/>
      <c r="M156" s="81"/>
      <c r="N156" s="13">
        <v>1.05</v>
      </c>
      <c r="O156" s="47">
        <v>40</v>
      </c>
      <c r="Q156" s="13">
        <v>0</v>
      </c>
      <c r="R156" s="13">
        <v>0</v>
      </c>
    </row>
    <row r="157" spans="1:20" s="13" customFormat="1" ht="20.25" thickTop="1">
      <c r="A157" s="14">
        <v>78</v>
      </c>
      <c r="B157" s="210" t="s">
        <v>139</v>
      </c>
      <c r="C157" s="47" t="s">
        <v>12</v>
      </c>
      <c r="D157" s="145">
        <f t="shared" si="9"/>
        <v>0.015</v>
      </c>
      <c r="E157" s="15">
        <f>D157+МРСК!F157</f>
        <v>0.8513731224758481</v>
      </c>
      <c r="F157" s="46">
        <v>0.4326661530556787</v>
      </c>
      <c r="G157" s="16">
        <v>120</v>
      </c>
      <c r="H157" s="46">
        <f t="shared" si="10"/>
        <v>0.4187069694201694</v>
      </c>
      <c r="I157" s="15">
        <v>0</v>
      </c>
      <c r="J157" s="48">
        <f>МРСК!K157</f>
        <v>2.625</v>
      </c>
      <c r="K157" s="46">
        <f t="shared" si="8"/>
        <v>2.2062930305798307</v>
      </c>
      <c r="L157" s="46">
        <f>K157</f>
        <v>2.2062930305798307</v>
      </c>
      <c r="M157" s="34"/>
      <c r="N157" s="13">
        <v>1.05</v>
      </c>
      <c r="O157" s="47">
        <v>2.5</v>
      </c>
      <c r="Q157" s="13">
        <v>0.015</v>
      </c>
      <c r="R157" s="13" t="s">
        <v>12</v>
      </c>
      <c r="T157" s="13">
        <v>5</v>
      </c>
    </row>
    <row r="158" spans="1:20" s="13" customFormat="1" ht="19.5">
      <c r="A158" s="14">
        <v>79</v>
      </c>
      <c r="B158" s="210" t="s">
        <v>140</v>
      </c>
      <c r="C158" s="47" t="s">
        <v>12</v>
      </c>
      <c r="D158" s="145">
        <f t="shared" si="9"/>
        <v>0</v>
      </c>
      <c r="E158" s="15">
        <f>D158+МРСК!F158</f>
        <v>0.9693214121229345</v>
      </c>
      <c r="F158" s="46">
        <v>0.46639018642623853</v>
      </c>
      <c r="G158" s="16">
        <v>120</v>
      </c>
      <c r="H158" s="46">
        <f t="shared" si="10"/>
        <v>0.502931225696696</v>
      </c>
      <c r="I158" s="15">
        <v>0</v>
      </c>
      <c r="J158" s="48">
        <f>МРСК!K158</f>
        <v>2.625</v>
      </c>
      <c r="K158" s="46">
        <f t="shared" si="8"/>
        <v>2.1220687743033038</v>
      </c>
      <c r="L158" s="46">
        <f aca="true" t="shared" si="11" ref="L158:L221">K158</f>
        <v>2.1220687743033038</v>
      </c>
      <c r="M158" s="34"/>
      <c r="N158" s="13">
        <v>1.05</v>
      </c>
      <c r="O158" s="47">
        <v>2.5</v>
      </c>
      <c r="Q158" s="13">
        <v>0</v>
      </c>
      <c r="R158" s="13" t="s">
        <v>12</v>
      </c>
      <c r="T158" s="13">
        <v>5</v>
      </c>
    </row>
    <row r="159" spans="1:20" s="13" customFormat="1" ht="19.5">
      <c r="A159" s="14">
        <v>80</v>
      </c>
      <c r="B159" s="210" t="s">
        <v>141</v>
      </c>
      <c r="C159" s="47" t="s">
        <v>13</v>
      </c>
      <c r="D159" s="145">
        <f t="shared" si="9"/>
        <v>0.06</v>
      </c>
      <c r="E159" s="15">
        <f>D159+МРСК!F159</f>
        <v>0.9861360591187454</v>
      </c>
      <c r="F159" s="46">
        <v>0</v>
      </c>
      <c r="G159" s="16"/>
      <c r="H159" s="46">
        <f t="shared" si="10"/>
        <v>0.9861360591187454</v>
      </c>
      <c r="I159" s="15">
        <v>0</v>
      </c>
      <c r="J159" s="48">
        <f>МРСК!K159</f>
        <v>4.2</v>
      </c>
      <c r="K159" s="46">
        <f t="shared" si="8"/>
        <v>3.2138639408812546</v>
      </c>
      <c r="L159" s="46">
        <f t="shared" si="11"/>
        <v>3.2138639408812546</v>
      </c>
      <c r="M159" s="34"/>
      <c r="N159" s="13">
        <v>1.05</v>
      </c>
      <c r="O159" s="47">
        <v>2.5</v>
      </c>
      <c r="Q159" s="13">
        <v>0.06</v>
      </c>
      <c r="R159" s="13" t="s">
        <v>13</v>
      </c>
      <c r="T159" s="13">
        <v>8</v>
      </c>
    </row>
    <row r="160" spans="1:20" s="13" customFormat="1" ht="19.5">
      <c r="A160" s="14">
        <v>81</v>
      </c>
      <c r="B160" s="210" t="s">
        <v>142</v>
      </c>
      <c r="C160" s="47" t="s">
        <v>12</v>
      </c>
      <c r="D160" s="145">
        <f t="shared" si="9"/>
        <v>0.015</v>
      </c>
      <c r="E160" s="15">
        <f>D160+МРСК!F160</f>
        <v>1.0930315394273027</v>
      </c>
      <c r="F160" s="46">
        <v>0.4465178692384436</v>
      </c>
      <c r="G160" s="16">
        <v>80</v>
      </c>
      <c r="H160" s="46">
        <f t="shared" si="10"/>
        <v>0.6465136701888591</v>
      </c>
      <c r="I160" s="15">
        <v>0</v>
      </c>
      <c r="J160" s="48">
        <f>МРСК!K160</f>
        <v>2.625</v>
      </c>
      <c r="K160" s="46">
        <f t="shared" si="8"/>
        <v>1.9784863298111408</v>
      </c>
      <c r="L160" s="46">
        <f t="shared" si="11"/>
        <v>1.9784863298111408</v>
      </c>
      <c r="M160" s="34"/>
      <c r="N160" s="13">
        <v>1.05</v>
      </c>
      <c r="O160" s="47">
        <v>2.5</v>
      </c>
      <c r="Q160" s="13">
        <v>0.015</v>
      </c>
      <c r="R160" s="13" t="s">
        <v>12</v>
      </c>
      <c r="T160" s="13">
        <v>5</v>
      </c>
    </row>
    <row r="161" spans="1:20" s="13" customFormat="1" ht="19.5">
      <c r="A161" s="14">
        <v>82</v>
      </c>
      <c r="B161" s="210" t="s">
        <v>143</v>
      </c>
      <c r="C161" s="47" t="s">
        <v>15</v>
      </c>
      <c r="D161" s="145">
        <f t="shared" si="9"/>
        <v>0.015</v>
      </c>
      <c r="E161" s="15">
        <f>D161+МРСК!F161</f>
        <v>4.192633780024285</v>
      </c>
      <c r="F161" s="46">
        <v>0.55</v>
      </c>
      <c r="G161" s="16">
        <v>45</v>
      </c>
      <c r="H161" s="46">
        <f t="shared" si="10"/>
        <v>3.642633780024285</v>
      </c>
      <c r="I161" s="15">
        <v>0</v>
      </c>
      <c r="J161" s="48">
        <f>МРСК!K161</f>
        <v>6.615</v>
      </c>
      <c r="K161" s="46">
        <f t="shared" si="8"/>
        <v>2.972366219975715</v>
      </c>
      <c r="L161" s="46">
        <f t="shared" si="11"/>
        <v>2.972366219975715</v>
      </c>
      <c r="M161" s="34"/>
      <c r="N161" s="13">
        <v>1.05</v>
      </c>
      <c r="O161" s="47">
        <v>6.3</v>
      </c>
      <c r="Q161" s="13">
        <v>0.015</v>
      </c>
      <c r="R161" s="13" t="s">
        <v>15</v>
      </c>
      <c r="T161" s="13">
        <v>12.6</v>
      </c>
    </row>
    <row r="162" spans="1:20" s="13" customFormat="1" ht="19.5">
      <c r="A162" s="14">
        <v>83</v>
      </c>
      <c r="B162" s="210" t="s">
        <v>144</v>
      </c>
      <c r="C162" s="47" t="s">
        <v>13</v>
      </c>
      <c r="D162" s="145">
        <f t="shared" si="9"/>
        <v>0.015</v>
      </c>
      <c r="E162" s="15">
        <f>D162+МРСК!F162</f>
        <v>2.8005283161368153</v>
      </c>
      <c r="F162" s="46">
        <v>1.191</v>
      </c>
      <c r="G162" s="16">
        <v>120</v>
      </c>
      <c r="H162" s="46">
        <f t="shared" si="10"/>
        <v>1.6095283161368152</v>
      </c>
      <c r="I162" s="15">
        <v>0</v>
      </c>
      <c r="J162" s="48">
        <f>МРСК!K162</f>
        <v>4.2</v>
      </c>
      <c r="K162" s="46">
        <f aca="true" t="shared" si="12" ref="K162:K225">J162-I162-H162</f>
        <v>2.5904716838631847</v>
      </c>
      <c r="L162" s="46">
        <f t="shared" si="11"/>
        <v>2.5904716838631847</v>
      </c>
      <c r="M162" s="34"/>
      <c r="N162" s="13">
        <v>1.05</v>
      </c>
      <c r="O162" s="47">
        <v>4</v>
      </c>
      <c r="Q162" s="13">
        <v>0.015</v>
      </c>
      <c r="R162" s="13" t="s">
        <v>13</v>
      </c>
      <c r="T162" s="13">
        <v>8</v>
      </c>
    </row>
    <row r="163" spans="1:20" s="13" customFormat="1" ht="19.5">
      <c r="A163" s="14">
        <v>84</v>
      </c>
      <c r="B163" s="210" t="s">
        <v>145</v>
      </c>
      <c r="C163" s="47" t="s">
        <v>13</v>
      </c>
      <c r="D163" s="145">
        <f t="shared" si="9"/>
        <v>0</v>
      </c>
      <c r="E163" s="15">
        <f>D163+МРСК!F163</f>
        <v>1.2211470017978998</v>
      </c>
      <c r="F163" s="46">
        <v>0.6248809275468652</v>
      </c>
      <c r="G163" s="16">
        <v>80</v>
      </c>
      <c r="H163" s="46">
        <f t="shared" si="10"/>
        <v>0.5962660742510346</v>
      </c>
      <c r="I163" s="15">
        <v>0</v>
      </c>
      <c r="J163" s="48">
        <f>МРСК!K163</f>
        <v>4.2</v>
      </c>
      <c r="K163" s="46">
        <f t="shared" si="12"/>
        <v>3.6037339257489656</v>
      </c>
      <c r="L163" s="46">
        <f t="shared" si="11"/>
        <v>3.6037339257489656</v>
      </c>
      <c r="M163" s="34"/>
      <c r="N163" s="13">
        <v>1.05</v>
      </c>
      <c r="O163" s="47">
        <v>4</v>
      </c>
      <c r="Q163" s="13">
        <v>0</v>
      </c>
      <c r="R163" s="13" t="s">
        <v>13</v>
      </c>
      <c r="T163" s="13">
        <v>8</v>
      </c>
    </row>
    <row r="164" spans="1:20" s="13" customFormat="1" ht="19.5">
      <c r="A164" s="14">
        <v>85</v>
      </c>
      <c r="B164" s="210" t="s">
        <v>146</v>
      </c>
      <c r="C164" s="47" t="s">
        <v>12</v>
      </c>
      <c r="D164" s="145">
        <f t="shared" si="9"/>
        <v>0</v>
      </c>
      <c r="E164" s="15">
        <f>D164+МРСК!F164</f>
        <v>1.1141920839783417</v>
      </c>
      <c r="F164" s="46">
        <v>0.447794595769087</v>
      </c>
      <c r="G164" s="16">
        <v>45</v>
      </c>
      <c r="H164" s="46">
        <f t="shared" si="10"/>
        <v>0.6663974882092547</v>
      </c>
      <c r="I164" s="15">
        <v>0</v>
      </c>
      <c r="J164" s="48">
        <f>МРСК!K164</f>
        <v>2.625</v>
      </c>
      <c r="K164" s="46">
        <f t="shared" si="12"/>
        <v>1.9586025117907453</v>
      </c>
      <c r="L164" s="46">
        <f t="shared" si="11"/>
        <v>1.9586025117907453</v>
      </c>
      <c r="M164" s="34"/>
      <c r="N164" s="13">
        <v>1.05</v>
      </c>
      <c r="O164" s="47">
        <v>2.5</v>
      </c>
      <c r="Q164" s="13">
        <v>0</v>
      </c>
      <c r="R164" s="13" t="s">
        <v>12</v>
      </c>
      <c r="T164" s="13">
        <v>5</v>
      </c>
    </row>
    <row r="165" spans="1:20" s="13" customFormat="1" ht="19.5">
      <c r="A165" s="14">
        <v>86</v>
      </c>
      <c r="B165" s="210" t="s">
        <v>147</v>
      </c>
      <c r="C165" s="47" t="s">
        <v>12</v>
      </c>
      <c r="D165" s="145">
        <f t="shared" si="9"/>
        <v>0.015</v>
      </c>
      <c r="E165" s="15">
        <f>D165+МРСК!F165</f>
        <v>0.9201673878349794</v>
      </c>
      <c r="F165" s="46">
        <v>0.606</v>
      </c>
      <c r="G165" s="16">
        <v>45</v>
      </c>
      <c r="H165" s="46">
        <f t="shared" si="10"/>
        <v>0.31416738783497944</v>
      </c>
      <c r="I165" s="15">
        <v>0</v>
      </c>
      <c r="J165" s="48">
        <f>МРСК!K165</f>
        <v>2.625</v>
      </c>
      <c r="K165" s="46">
        <f t="shared" si="12"/>
        <v>2.3108326121650204</v>
      </c>
      <c r="L165" s="46">
        <f t="shared" si="11"/>
        <v>2.3108326121650204</v>
      </c>
      <c r="M165" s="34"/>
      <c r="N165" s="13">
        <v>1.05</v>
      </c>
      <c r="O165" s="47">
        <v>2.5</v>
      </c>
      <c r="Q165" s="13">
        <f>0.015</f>
        <v>0.015</v>
      </c>
      <c r="R165" s="13" t="s">
        <v>12</v>
      </c>
      <c r="T165" s="13">
        <v>5</v>
      </c>
    </row>
    <row r="166" spans="1:20" s="13" customFormat="1" ht="19.5">
      <c r="A166" s="14">
        <v>87</v>
      </c>
      <c r="B166" s="210" t="s">
        <v>148</v>
      </c>
      <c r="C166" s="47" t="s">
        <v>15</v>
      </c>
      <c r="D166" s="145">
        <f t="shared" si="9"/>
        <v>0.259</v>
      </c>
      <c r="E166" s="15">
        <f>D166+МРСК!F166</f>
        <v>4.031239653044329</v>
      </c>
      <c r="F166" s="46">
        <v>2.83</v>
      </c>
      <c r="G166" s="16">
        <v>45</v>
      </c>
      <c r="H166" s="46">
        <f t="shared" si="10"/>
        <v>1.201239653044329</v>
      </c>
      <c r="I166" s="15">
        <v>0</v>
      </c>
      <c r="J166" s="48">
        <f>МРСК!K166</f>
        <v>6.615</v>
      </c>
      <c r="K166" s="46">
        <f t="shared" si="12"/>
        <v>5.413760346955671</v>
      </c>
      <c r="L166" s="46">
        <f t="shared" si="11"/>
        <v>5.413760346955671</v>
      </c>
      <c r="M166" s="34"/>
      <c r="N166" s="13">
        <v>1.05</v>
      </c>
      <c r="O166" s="47">
        <v>6.3</v>
      </c>
      <c r="Q166" s="13">
        <f>0.099+0.16</f>
        <v>0.259</v>
      </c>
      <c r="R166" s="13" t="s">
        <v>15</v>
      </c>
      <c r="T166" s="13">
        <v>12.6</v>
      </c>
    </row>
    <row r="167" spans="1:20" s="13" customFormat="1" ht="19.5">
      <c r="A167" s="14">
        <v>88</v>
      </c>
      <c r="B167" s="210" t="s">
        <v>149</v>
      </c>
      <c r="C167" s="47" t="s">
        <v>13</v>
      </c>
      <c r="D167" s="145">
        <f t="shared" si="9"/>
        <v>0.105</v>
      </c>
      <c r="E167" s="15">
        <f>D167+МРСК!F167</f>
        <v>4.0503628476985485</v>
      </c>
      <c r="F167" s="46">
        <v>1.21</v>
      </c>
      <c r="G167" s="16">
        <v>80</v>
      </c>
      <c r="H167" s="46">
        <f t="shared" si="10"/>
        <v>2.8403628476985485</v>
      </c>
      <c r="I167" s="15">
        <v>0</v>
      </c>
      <c r="J167" s="48">
        <f>МРСК!K167</f>
        <v>4.2</v>
      </c>
      <c r="K167" s="46">
        <f t="shared" si="12"/>
        <v>1.3596371523014517</v>
      </c>
      <c r="L167" s="46">
        <f t="shared" si="11"/>
        <v>1.3596371523014517</v>
      </c>
      <c r="M167" s="34"/>
      <c r="N167" s="13">
        <v>1.05</v>
      </c>
      <c r="O167" s="47">
        <v>4</v>
      </c>
      <c r="Q167" s="13">
        <v>0.105</v>
      </c>
      <c r="R167" s="13" t="s">
        <v>13</v>
      </c>
      <c r="T167" s="13">
        <v>8</v>
      </c>
    </row>
    <row r="168" spans="1:20" s="13" customFormat="1" ht="19.5">
      <c r="A168" s="14">
        <v>89</v>
      </c>
      <c r="B168" s="210" t="s">
        <v>150</v>
      </c>
      <c r="C168" s="47" t="s">
        <v>18</v>
      </c>
      <c r="D168" s="145">
        <f t="shared" si="9"/>
        <v>0.014</v>
      </c>
      <c r="E168" s="15">
        <f>D168+МРСК!F168</f>
        <v>2.108778269889202</v>
      </c>
      <c r="F168" s="46">
        <v>1.3213999028416417</v>
      </c>
      <c r="G168" s="16">
        <v>45</v>
      </c>
      <c r="H168" s="46">
        <f t="shared" si="10"/>
        <v>0.7873783670475605</v>
      </c>
      <c r="I168" s="15">
        <v>0</v>
      </c>
      <c r="J168" s="48">
        <f>МРСК!K168</f>
        <v>2.625</v>
      </c>
      <c r="K168" s="46">
        <f t="shared" si="12"/>
        <v>1.8376216329524395</v>
      </c>
      <c r="L168" s="46">
        <f t="shared" si="11"/>
        <v>1.8376216329524395</v>
      </c>
      <c r="M168" s="34"/>
      <c r="N168" s="13">
        <v>1.05</v>
      </c>
      <c r="O168" s="47">
        <v>2.5</v>
      </c>
      <c r="Q168" s="13">
        <v>0.014</v>
      </c>
      <c r="R168" s="13" t="s">
        <v>18</v>
      </c>
      <c r="T168" s="13">
        <v>6.5</v>
      </c>
    </row>
    <row r="169" spans="1:20" s="13" customFormat="1" ht="19.5">
      <c r="A169" s="14">
        <v>90</v>
      </c>
      <c r="B169" s="210" t="s">
        <v>151</v>
      </c>
      <c r="C169" s="47" t="s">
        <v>15</v>
      </c>
      <c r="D169" s="145">
        <f t="shared" si="9"/>
        <v>0.04</v>
      </c>
      <c r="E169" s="15">
        <f>D169+МРСК!F169</f>
        <v>7.123086332948371</v>
      </c>
      <c r="F169" s="46">
        <v>0.918</v>
      </c>
      <c r="G169" s="16">
        <v>120</v>
      </c>
      <c r="H169" s="46">
        <f t="shared" si="10"/>
        <v>6.205086332948371</v>
      </c>
      <c r="I169" s="15">
        <v>0</v>
      </c>
      <c r="J169" s="48">
        <f>МРСК!K169</f>
        <v>6.615</v>
      </c>
      <c r="K169" s="46">
        <f t="shared" si="12"/>
        <v>0.40991366705162946</v>
      </c>
      <c r="L169" s="46">
        <f t="shared" si="11"/>
        <v>0.40991366705162946</v>
      </c>
      <c r="M169" s="34"/>
      <c r="N169" s="13">
        <v>1.05</v>
      </c>
      <c r="O169" s="47">
        <v>6.3</v>
      </c>
      <c r="Q169" s="13">
        <v>0.04</v>
      </c>
      <c r="R169" s="13" t="s">
        <v>15</v>
      </c>
      <c r="T169" s="13">
        <v>12.6</v>
      </c>
    </row>
    <row r="170" spans="1:20" s="13" customFormat="1" ht="19.5">
      <c r="A170" s="14">
        <v>91</v>
      </c>
      <c r="B170" s="210" t="s">
        <v>152</v>
      </c>
      <c r="C170" s="47" t="s">
        <v>22</v>
      </c>
      <c r="D170" s="145">
        <f t="shared" si="9"/>
        <v>0.01</v>
      </c>
      <c r="E170" s="15">
        <f>D170+МРСК!F170</f>
        <v>1.27280956600748</v>
      </c>
      <c r="F170" s="46">
        <v>0.522</v>
      </c>
      <c r="G170" s="16">
        <v>45</v>
      </c>
      <c r="H170" s="46">
        <f t="shared" si="10"/>
        <v>0.7508095660074801</v>
      </c>
      <c r="I170" s="15">
        <v>0</v>
      </c>
      <c r="J170" s="48">
        <f>МРСК!K170</f>
        <v>1.6800000000000002</v>
      </c>
      <c r="K170" s="46">
        <f t="shared" si="12"/>
        <v>0.9291904339925201</v>
      </c>
      <c r="L170" s="46">
        <f t="shared" si="11"/>
        <v>0.9291904339925201</v>
      </c>
      <c r="M170" s="34"/>
      <c r="N170" s="13">
        <v>1.05</v>
      </c>
      <c r="O170" s="47">
        <v>1.6</v>
      </c>
      <c r="Q170" s="13">
        <v>0.01</v>
      </c>
      <c r="R170" s="13" t="s">
        <v>22</v>
      </c>
      <c r="T170" s="13">
        <v>4.1</v>
      </c>
    </row>
    <row r="171" spans="1:20" s="13" customFormat="1" ht="19.5">
      <c r="A171" s="14">
        <v>92</v>
      </c>
      <c r="B171" s="210" t="s">
        <v>153</v>
      </c>
      <c r="C171" s="47" t="s">
        <v>13</v>
      </c>
      <c r="D171" s="145">
        <f t="shared" si="9"/>
        <v>0.04</v>
      </c>
      <c r="E171" s="15">
        <f>D171+МРСК!F171</f>
        <v>2.8528163822048533</v>
      </c>
      <c r="F171" s="46">
        <v>1.45</v>
      </c>
      <c r="G171" s="16">
        <v>80</v>
      </c>
      <c r="H171" s="46">
        <f t="shared" si="10"/>
        <v>1.4028163822048534</v>
      </c>
      <c r="I171" s="15">
        <v>0</v>
      </c>
      <c r="J171" s="48">
        <f>МРСК!K171</f>
        <v>4.2</v>
      </c>
      <c r="K171" s="46">
        <f t="shared" si="12"/>
        <v>2.797183617795147</v>
      </c>
      <c r="L171" s="46">
        <f t="shared" si="11"/>
        <v>2.797183617795147</v>
      </c>
      <c r="M171" s="34"/>
      <c r="N171" s="13">
        <v>1.05</v>
      </c>
      <c r="O171" s="47">
        <v>4</v>
      </c>
      <c r="Q171" s="13">
        <f>0.025+0.015</f>
        <v>0.04</v>
      </c>
      <c r="R171" s="13" t="s">
        <v>13</v>
      </c>
      <c r="T171" s="13">
        <v>8</v>
      </c>
    </row>
    <row r="172" spans="1:20" s="13" customFormat="1" ht="19.5">
      <c r="A172" s="14">
        <v>93</v>
      </c>
      <c r="B172" s="210" t="s">
        <v>154</v>
      </c>
      <c r="C172" s="47" t="s">
        <v>12</v>
      </c>
      <c r="D172" s="145">
        <f t="shared" si="9"/>
        <v>0.1219</v>
      </c>
      <c r="E172" s="15">
        <f>D172+МРСК!F172</f>
        <v>2.128074468983194</v>
      </c>
      <c r="F172" s="46">
        <v>1.0795494616358337</v>
      </c>
      <c r="G172" s="16">
        <v>120</v>
      </c>
      <c r="H172" s="46">
        <f t="shared" si="10"/>
        <v>1.0485250073473602</v>
      </c>
      <c r="I172" s="15">
        <v>0</v>
      </c>
      <c r="J172" s="48">
        <f>МРСК!K172</f>
        <v>2.625</v>
      </c>
      <c r="K172" s="46">
        <f t="shared" si="12"/>
        <v>1.5764749926526398</v>
      </c>
      <c r="L172" s="46">
        <f t="shared" si="11"/>
        <v>1.5764749926526398</v>
      </c>
      <c r="M172" s="34"/>
      <c r="N172" s="13">
        <v>1.05</v>
      </c>
      <c r="O172" s="47">
        <v>2.5</v>
      </c>
      <c r="Q172" s="13">
        <f>0.0929+0.029</f>
        <v>0.1219</v>
      </c>
      <c r="R172" s="13" t="s">
        <v>12</v>
      </c>
      <c r="T172" s="13">
        <v>5</v>
      </c>
    </row>
    <row r="173" spans="1:20" s="13" customFormat="1" ht="19.5">
      <c r="A173" s="14">
        <v>94</v>
      </c>
      <c r="B173" s="210" t="s">
        <v>155</v>
      </c>
      <c r="C173" s="47" t="s">
        <v>12</v>
      </c>
      <c r="D173" s="145">
        <f t="shared" si="9"/>
        <v>0.53</v>
      </c>
      <c r="E173" s="15">
        <f>D173+МРСК!F173</f>
        <v>1.6345868005729562</v>
      </c>
      <c r="F173" s="46">
        <v>0.4</v>
      </c>
      <c r="G173" s="16">
        <v>120</v>
      </c>
      <c r="H173" s="46">
        <f t="shared" si="10"/>
        <v>1.2345868005729561</v>
      </c>
      <c r="I173" s="15">
        <v>0</v>
      </c>
      <c r="J173" s="48">
        <f>МРСК!K173</f>
        <v>2.625</v>
      </c>
      <c r="K173" s="46">
        <f t="shared" si="12"/>
        <v>1.3904131994270439</v>
      </c>
      <c r="L173" s="46">
        <f t="shared" si="11"/>
        <v>1.3904131994270439</v>
      </c>
      <c r="M173" s="34"/>
      <c r="N173" s="13">
        <v>1.05</v>
      </c>
      <c r="O173" s="47">
        <v>2.5</v>
      </c>
      <c r="Q173" s="13">
        <f>0.03+0.5</f>
        <v>0.53</v>
      </c>
      <c r="R173" s="13" t="s">
        <v>12</v>
      </c>
      <c r="T173" s="13">
        <v>5</v>
      </c>
    </row>
    <row r="174" spans="1:20" s="13" customFormat="1" ht="19.5">
      <c r="A174" s="14">
        <v>95</v>
      </c>
      <c r="B174" s="210" t="s">
        <v>156</v>
      </c>
      <c r="C174" s="47" t="s">
        <v>18</v>
      </c>
      <c r="D174" s="145">
        <f t="shared" si="9"/>
        <v>0</v>
      </c>
      <c r="E174" s="15">
        <f>D174+МРСК!F174</f>
        <v>1.5831310748008203</v>
      </c>
      <c r="F174" s="46">
        <v>1.0176542711224374</v>
      </c>
      <c r="G174" s="16">
        <v>45</v>
      </c>
      <c r="H174" s="46">
        <f t="shared" si="10"/>
        <v>0.5654768036783828</v>
      </c>
      <c r="I174" s="15">
        <v>0</v>
      </c>
      <c r="J174" s="48">
        <f>МРСК!K174</f>
        <v>2.625</v>
      </c>
      <c r="K174" s="46">
        <f t="shared" si="12"/>
        <v>2.059523196321617</v>
      </c>
      <c r="L174" s="46">
        <f t="shared" si="11"/>
        <v>2.059523196321617</v>
      </c>
      <c r="M174" s="34"/>
      <c r="N174" s="13">
        <v>1.05</v>
      </c>
      <c r="O174" s="47">
        <v>2.5</v>
      </c>
      <c r="Q174" s="13">
        <v>0</v>
      </c>
      <c r="R174" s="13" t="s">
        <v>18</v>
      </c>
      <c r="T174" s="13">
        <v>6.5</v>
      </c>
    </row>
    <row r="175" spans="1:20" s="13" customFormat="1" ht="19.5">
      <c r="A175" s="14">
        <v>96</v>
      </c>
      <c r="B175" s="210" t="s">
        <v>157</v>
      </c>
      <c r="C175" s="47" t="s">
        <v>18</v>
      </c>
      <c r="D175" s="145">
        <f t="shared" si="9"/>
        <v>0.01</v>
      </c>
      <c r="E175" s="15">
        <f>D175+МРСК!F175</f>
        <v>1.4141082579345512</v>
      </c>
      <c r="F175" s="46">
        <v>0.9553554312401222</v>
      </c>
      <c r="G175" s="16">
        <v>120</v>
      </c>
      <c r="H175" s="46">
        <f t="shared" si="10"/>
        <v>0.45875282669442896</v>
      </c>
      <c r="I175" s="15">
        <v>0</v>
      </c>
      <c r="J175" s="48">
        <f>МРСК!K175</f>
        <v>2.625</v>
      </c>
      <c r="K175" s="46">
        <f t="shared" si="12"/>
        <v>2.166247173305571</v>
      </c>
      <c r="L175" s="46">
        <f t="shared" si="11"/>
        <v>2.166247173305571</v>
      </c>
      <c r="M175" s="34"/>
      <c r="N175" s="13">
        <v>1.05</v>
      </c>
      <c r="O175" s="47">
        <v>2.5</v>
      </c>
      <c r="Q175" s="13">
        <v>0.01</v>
      </c>
      <c r="R175" s="13" t="s">
        <v>18</v>
      </c>
      <c r="T175" s="13">
        <v>6.5</v>
      </c>
    </row>
    <row r="176" spans="1:20" s="13" customFormat="1" ht="19.5">
      <c r="A176" s="14">
        <v>97</v>
      </c>
      <c r="B176" s="210" t="s">
        <v>158</v>
      </c>
      <c r="C176" s="47" t="s">
        <v>13</v>
      </c>
      <c r="D176" s="145">
        <f t="shared" si="9"/>
        <v>0</v>
      </c>
      <c r="E176" s="15">
        <f>D176+МРСК!F176</f>
        <v>2.723048291896418</v>
      </c>
      <c r="F176" s="46">
        <v>0.616</v>
      </c>
      <c r="G176" s="16">
        <v>80</v>
      </c>
      <c r="H176" s="46">
        <f t="shared" si="10"/>
        <v>2.107048291896418</v>
      </c>
      <c r="I176" s="15">
        <v>0</v>
      </c>
      <c r="J176" s="48">
        <f>МРСК!K176</f>
        <v>4.2</v>
      </c>
      <c r="K176" s="46">
        <f t="shared" si="12"/>
        <v>2.092951708103582</v>
      </c>
      <c r="L176" s="46">
        <f t="shared" si="11"/>
        <v>2.092951708103582</v>
      </c>
      <c r="M176" s="34"/>
      <c r="N176" s="13">
        <v>1.05</v>
      </c>
      <c r="O176" s="47">
        <v>4</v>
      </c>
      <c r="Q176" s="13">
        <v>0</v>
      </c>
      <c r="R176" s="13" t="s">
        <v>13</v>
      </c>
      <c r="T176" s="13">
        <v>8</v>
      </c>
    </row>
    <row r="177" spans="1:20" s="13" customFormat="1" ht="19.5">
      <c r="A177" s="14">
        <v>98</v>
      </c>
      <c r="B177" s="210" t="s">
        <v>159</v>
      </c>
      <c r="C177" s="47" t="s">
        <v>13</v>
      </c>
      <c r="D177" s="145">
        <f t="shared" si="9"/>
        <v>0</v>
      </c>
      <c r="E177" s="15">
        <f>D177+МРСК!F177</f>
        <v>0.7542585763516382</v>
      </c>
      <c r="F177" s="46">
        <v>0</v>
      </c>
      <c r="G177" s="16"/>
      <c r="H177" s="46">
        <f t="shared" si="10"/>
        <v>0.7542585763516382</v>
      </c>
      <c r="I177" s="15">
        <v>0</v>
      </c>
      <c r="J177" s="48">
        <f>МРСК!K177</f>
        <v>4.2</v>
      </c>
      <c r="K177" s="46">
        <f t="shared" si="12"/>
        <v>3.445741423648362</v>
      </c>
      <c r="L177" s="46">
        <f t="shared" si="11"/>
        <v>3.445741423648362</v>
      </c>
      <c r="M177" s="34"/>
      <c r="N177" s="13">
        <v>1.05</v>
      </c>
      <c r="O177" s="47">
        <v>4</v>
      </c>
      <c r="Q177" s="13">
        <v>0</v>
      </c>
      <c r="R177" s="13" t="s">
        <v>13</v>
      </c>
      <c r="T177" s="13">
        <v>8</v>
      </c>
    </row>
    <row r="178" spans="1:20" s="13" customFormat="1" ht="19.5">
      <c r="A178" s="14">
        <v>99</v>
      </c>
      <c r="B178" s="210" t="s">
        <v>160</v>
      </c>
      <c r="C178" s="47" t="s">
        <v>31</v>
      </c>
      <c r="D178" s="145">
        <f t="shared" si="9"/>
        <v>0</v>
      </c>
      <c r="E178" s="15">
        <f>D178+МРСК!F178</f>
        <v>2.1769005489456794</v>
      </c>
      <c r="F178" s="46">
        <v>0.305</v>
      </c>
      <c r="G178" s="16">
        <v>45</v>
      </c>
      <c r="H178" s="46">
        <f t="shared" si="10"/>
        <v>1.8719005489456795</v>
      </c>
      <c r="I178" s="15">
        <v>0</v>
      </c>
      <c r="J178" s="48">
        <f>МРСК!K178</f>
        <v>4.2</v>
      </c>
      <c r="K178" s="46">
        <f t="shared" si="12"/>
        <v>2.328099451054321</v>
      </c>
      <c r="L178" s="46">
        <f t="shared" si="11"/>
        <v>2.328099451054321</v>
      </c>
      <c r="M178" s="34"/>
      <c r="N178" s="13">
        <v>1.05</v>
      </c>
      <c r="O178" s="47">
        <v>2.5</v>
      </c>
      <c r="Q178" s="13">
        <v>0</v>
      </c>
      <c r="R178" s="13" t="s">
        <v>31</v>
      </c>
      <c r="T178" s="13">
        <v>10.3</v>
      </c>
    </row>
    <row r="179" spans="1:20" s="13" customFormat="1" ht="19.5">
      <c r="A179" s="14">
        <v>100</v>
      </c>
      <c r="B179" s="210" t="s">
        <v>161</v>
      </c>
      <c r="C179" s="47" t="s">
        <v>15</v>
      </c>
      <c r="D179" s="145">
        <f t="shared" si="9"/>
        <v>0.027</v>
      </c>
      <c r="E179" s="15">
        <f>D179+МРСК!F179</f>
        <v>4.589933376677771</v>
      </c>
      <c r="F179" s="46">
        <v>1.43</v>
      </c>
      <c r="G179" s="16">
        <v>120</v>
      </c>
      <c r="H179" s="46">
        <f t="shared" si="10"/>
        <v>3.1599333766777713</v>
      </c>
      <c r="I179" s="15">
        <v>0</v>
      </c>
      <c r="J179" s="48">
        <f>МРСК!K179</f>
        <v>6.615</v>
      </c>
      <c r="K179" s="46">
        <f t="shared" si="12"/>
        <v>3.455066623322229</v>
      </c>
      <c r="L179" s="46">
        <f t="shared" si="11"/>
        <v>3.455066623322229</v>
      </c>
      <c r="M179" s="34"/>
      <c r="N179" s="13">
        <v>1.05</v>
      </c>
      <c r="O179" s="47">
        <v>4</v>
      </c>
      <c r="Q179" s="13">
        <f>0.012+0.015</f>
        <v>0.027</v>
      </c>
      <c r="R179" s="13" t="s">
        <v>15</v>
      </c>
      <c r="T179" s="13">
        <v>12.6</v>
      </c>
    </row>
    <row r="180" spans="1:20" s="13" customFormat="1" ht="19.5">
      <c r="A180" s="14">
        <v>101</v>
      </c>
      <c r="B180" s="210" t="s">
        <v>162</v>
      </c>
      <c r="C180" s="47" t="s">
        <v>12</v>
      </c>
      <c r="D180" s="145">
        <f t="shared" si="9"/>
        <v>0.026</v>
      </c>
      <c r="E180" s="15">
        <f>D180+МРСК!F180</f>
        <v>2.1017051813781262</v>
      </c>
      <c r="F180" s="46">
        <v>0.995132152028061</v>
      </c>
      <c r="G180" s="16">
        <v>120</v>
      </c>
      <c r="H180" s="46">
        <f t="shared" si="10"/>
        <v>1.106573029350065</v>
      </c>
      <c r="I180" s="15">
        <v>0</v>
      </c>
      <c r="J180" s="48">
        <f>МРСК!K180</f>
        <v>2.625</v>
      </c>
      <c r="K180" s="46">
        <f t="shared" si="12"/>
        <v>1.518426970649935</v>
      </c>
      <c r="L180" s="46">
        <f t="shared" si="11"/>
        <v>1.518426970649935</v>
      </c>
      <c r="M180" s="34"/>
      <c r="N180" s="13">
        <v>1.05</v>
      </c>
      <c r="O180" s="47">
        <v>2.5</v>
      </c>
      <c r="Q180" s="13">
        <f>0.026</f>
        <v>0.026</v>
      </c>
      <c r="R180" s="13" t="s">
        <v>12</v>
      </c>
      <c r="T180" s="13">
        <v>5</v>
      </c>
    </row>
    <row r="181" spans="1:20" s="13" customFormat="1" ht="19.5">
      <c r="A181" s="14">
        <v>102</v>
      </c>
      <c r="B181" s="210" t="s">
        <v>163</v>
      </c>
      <c r="C181" s="47" t="s">
        <v>15</v>
      </c>
      <c r="D181" s="145">
        <f t="shared" si="9"/>
        <v>0</v>
      </c>
      <c r="E181" s="15">
        <f>D181+МРСК!F181</f>
        <v>2.911120746379305</v>
      </c>
      <c r="F181" s="46">
        <v>1.4036067580251326</v>
      </c>
      <c r="G181" s="16">
        <v>80</v>
      </c>
      <c r="H181" s="46">
        <f t="shared" si="10"/>
        <v>1.5075139883541724</v>
      </c>
      <c r="I181" s="15">
        <v>0</v>
      </c>
      <c r="J181" s="48">
        <f>МРСК!K181</f>
        <v>6.615</v>
      </c>
      <c r="K181" s="46">
        <f t="shared" si="12"/>
        <v>5.107486011645828</v>
      </c>
      <c r="L181" s="46">
        <f t="shared" si="11"/>
        <v>5.107486011645828</v>
      </c>
      <c r="M181" s="34"/>
      <c r="N181" s="13">
        <v>1.05</v>
      </c>
      <c r="O181" s="47">
        <v>2.5</v>
      </c>
      <c r="Q181" s="13">
        <v>0</v>
      </c>
      <c r="R181" s="13" t="s">
        <v>15</v>
      </c>
      <c r="T181" s="13">
        <v>12.3</v>
      </c>
    </row>
    <row r="182" spans="1:20" s="13" customFormat="1" ht="19.5">
      <c r="A182" s="14">
        <v>103</v>
      </c>
      <c r="B182" s="210" t="s">
        <v>164</v>
      </c>
      <c r="C182" s="47" t="s">
        <v>12</v>
      </c>
      <c r="D182" s="145">
        <f t="shared" si="9"/>
        <v>0.037</v>
      </c>
      <c r="E182" s="15">
        <f>D182+МРСК!F182</f>
        <v>2.903593797523465</v>
      </c>
      <c r="F182" s="46">
        <v>0.617</v>
      </c>
      <c r="G182" s="16">
        <v>45</v>
      </c>
      <c r="H182" s="46">
        <f t="shared" si="10"/>
        <v>2.286593797523465</v>
      </c>
      <c r="I182" s="15">
        <v>0</v>
      </c>
      <c r="J182" s="48">
        <f>МРСК!K182</f>
        <v>2.625</v>
      </c>
      <c r="K182" s="46">
        <f t="shared" si="12"/>
        <v>0.3384062024765351</v>
      </c>
      <c r="L182" s="46">
        <f t="shared" si="11"/>
        <v>0.3384062024765351</v>
      </c>
      <c r="M182" s="34"/>
      <c r="N182" s="13">
        <v>1.05</v>
      </c>
      <c r="O182" s="47">
        <v>2.5</v>
      </c>
      <c r="Q182" s="13">
        <v>0.037</v>
      </c>
      <c r="R182" s="13" t="s">
        <v>12</v>
      </c>
      <c r="T182" s="13">
        <v>5</v>
      </c>
    </row>
    <row r="183" spans="1:20" s="13" customFormat="1" ht="19.5">
      <c r="A183" s="14">
        <v>104</v>
      </c>
      <c r="B183" s="210" t="s">
        <v>165</v>
      </c>
      <c r="C183" s="47" t="s">
        <v>18</v>
      </c>
      <c r="D183" s="145">
        <f t="shared" si="9"/>
        <v>0</v>
      </c>
      <c r="E183" s="15">
        <f>D183+МРСК!F183</f>
        <v>1.5900540871303717</v>
      </c>
      <c r="F183" s="46">
        <v>0.9084995371305657</v>
      </c>
      <c r="G183" s="16">
        <v>45</v>
      </c>
      <c r="H183" s="46">
        <f t="shared" si="10"/>
        <v>0.6815545499998059</v>
      </c>
      <c r="I183" s="15">
        <v>0</v>
      </c>
      <c r="J183" s="48">
        <f>МРСК!K183</f>
        <v>2.625</v>
      </c>
      <c r="K183" s="46">
        <f t="shared" si="12"/>
        <v>1.943445450000194</v>
      </c>
      <c r="L183" s="46">
        <f t="shared" si="11"/>
        <v>1.943445450000194</v>
      </c>
      <c r="M183" s="34"/>
      <c r="N183" s="13">
        <v>1.05</v>
      </c>
      <c r="O183" s="47">
        <v>2.5</v>
      </c>
      <c r="Q183" s="13">
        <v>0</v>
      </c>
      <c r="R183" s="13" t="s">
        <v>18</v>
      </c>
      <c r="T183" s="13">
        <v>6.5</v>
      </c>
    </row>
    <row r="184" spans="1:20" s="13" customFormat="1" ht="19.5">
      <c r="A184" s="14">
        <v>105</v>
      </c>
      <c r="B184" s="210" t="s">
        <v>166</v>
      </c>
      <c r="C184" s="47" t="s">
        <v>13</v>
      </c>
      <c r="D184" s="145">
        <f t="shared" si="9"/>
        <v>0.025</v>
      </c>
      <c r="E184" s="15">
        <f>D184+МРСК!F184</f>
        <v>3.6313588285138794</v>
      </c>
      <c r="F184" s="46">
        <v>0</v>
      </c>
      <c r="G184" s="16"/>
      <c r="H184" s="46">
        <f t="shared" si="10"/>
        <v>3.6313588285138794</v>
      </c>
      <c r="I184" s="15">
        <v>0</v>
      </c>
      <c r="J184" s="48">
        <f>МРСК!K184</f>
        <v>4.2</v>
      </c>
      <c r="K184" s="46">
        <f t="shared" si="12"/>
        <v>0.5686411714861208</v>
      </c>
      <c r="L184" s="46">
        <f t="shared" si="11"/>
        <v>0.5686411714861208</v>
      </c>
      <c r="M184" s="34"/>
      <c r="N184" s="13">
        <v>1.05</v>
      </c>
      <c r="O184" s="47">
        <v>4</v>
      </c>
      <c r="Q184" s="13">
        <v>0.025</v>
      </c>
      <c r="R184" s="13" t="s">
        <v>13</v>
      </c>
      <c r="T184" s="13">
        <v>8</v>
      </c>
    </row>
    <row r="185" spans="1:20" s="13" customFormat="1" ht="19.5">
      <c r="A185" s="14">
        <v>106</v>
      </c>
      <c r="B185" s="210" t="s">
        <v>167</v>
      </c>
      <c r="C185" s="47" t="s">
        <v>13</v>
      </c>
      <c r="D185" s="145">
        <f t="shared" si="9"/>
        <v>0.4</v>
      </c>
      <c r="E185" s="15">
        <f>D185+МРСК!F185</f>
        <v>1.7110240272397759</v>
      </c>
      <c r="F185" s="46">
        <v>0.7823699242213712</v>
      </c>
      <c r="G185" s="16">
        <v>80</v>
      </c>
      <c r="H185" s="46">
        <f t="shared" si="10"/>
        <v>0.9286541030184047</v>
      </c>
      <c r="I185" s="15">
        <v>0</v>
      </c>
      <c r="J185" s="48">
        <f>МРСК!K185</f>
        <v>4.2</v>
      </c>
      <c r="K185" s="46">
        <f t="shared" si="12"/>
        <v>3.2713458969815954</v>
      </c>
      <c r="L185" s="46">
        <f t="shared" si="11"/>
        <v>3.2713458969815954</v>
      </c>
      <c r="M185" s="34"/>
      <c r="N185" s="13">
        <v>1.05</v>
      </c>
      <c r="O185" s="47">
        <v>4</v>
      </c>
      <c r="Q185" s="13">
        <v>0.4</v>
      </c>
      <c r="R185" s="13" t="s">
        <v>13</v>
      </c>
      <c r="T185" s="13">
        <v>8</v>
      </c>
    </row>
    <row r="186" spans="1:20" s="13" customFormat="1" ht="19.5">
      <c r="A186" s="14">
        <v>107</v>
      </c>
      <c r="B186" s="210" t="s">
        <v>168</v>
      </c>
      <c r="C186" s="47" t="s">
        <v>13</v>
      </c>
      <c r="D186" s="145">
        <f t="shared" si="9"/>
        <v>0.08399999999999999</v>
      </c>
      <c r="E186" s="15">
        <f>D186+МРСК!F186</f>
        <v>2.847348693161976</v>
      </c>
      <c r="F186" s="46">
        <v>1.054</v>
      </c>
      <c r="G186" s="16">
        <v>45</v>
      </c>
      <c r="H186" s="46">
        <f t="shared" si="10"/>
        <v>1.793348693161976</v>
      </c>
      <c r="I186" s="15">
        <v>0</v>
      </c>
      <c r="J186" s="48">
        <f>МРСК!K186</f>
        <v>4.2</v>
      </c>
      <c r="K186" s="46">
        <f t="shared" si="12"/>
        <v>2.4066513068380244</v>
      </c>
      <c r="L186" s="46">
        <f t="shared" si="11"/>
        <v>2.4066513068380244</v>
      </c>
      <c r="M186" s="34"/>
      <c r="N186" s="13">
        <v>1.05</v>
      </c>
      <c r="O186" s="47">
        <v>4</v>
      </c>
      <c r="Q186" s="13">
        <f>0.039+0.045</f>
        <v>0.08399999999999999</v>
      </c>
      <c r="R186" s="13" t="s">
        <v>13</v>
      </c>
      <c r="T186" s="13">
        <v>8</v>
      </c>
    </row>
    <row r="187" spans="1:20" s="13" customFormat="1" ht="19.5">
      <c r="A187" s="14">
        <v>108</v>
      </c>
      <c r="B187" s="210" t="s">
        <v>169</v>
      </c>
      <c r="C187" s="47" t="s">
        <v>12</v>
      </c>
      <c r="D187" s="145">
        <f t="shared" si="9"/>
        <v>0.01</v>
      </c>
      <c r="E187" s="15">
        <f>D187+МРСК!F187</f>
        <v>0.9875725037049682</v>
      </c>
      <c r="F187" s="46">
        <v>0.6299911422760434</v>
      </c>
      <c r="G187" s="16">
        <v>80</v>
      </c>
      <c r="H187" s="46">
        <f t="shared" si="10"/>
        <v>0.3575813614289248</v>
      </c>
      <c r="I187" s="15">
        <v>0</v>
      </c>
      <c r="J187" s="48">
        <f>МРСК!K187</f>
        <v>2.625</v>
      </c>
      <c r="K187" s="46">
        <f t="shared" si="12"/>
        <v>2.2674186385710753</v>
      </c>
      <c r="L187" s="46">
        <f t="shared" si="11"/>
        <v>2.2674186385710753</v>
      </c>
      <c r="M187" s="34"/>
      <c r="N187" s="13">
        <v>1.05</v>
      </c>
      <c r="O187" s="47">
        <v>2.5</v>
      </c>
      <c r="Q187" s="13">
        <v>0.01</v>
      </c>
      <c r="R187" s="13" t="s">
        <v>12</v>
      </c>
      <c r="T187" s="13">
        <v>5</v>
      </c>
    </row>
    <row r="188" spans="1:20" s="13" customFormat="1" ht="19.5">
      <c r="A188" s="14">
        <v>109</v>
      </c>
      <c r="B188" s="210" t="s">
        <v>170</v>
      </c>
      <c r="C188" s="47" t="s">
        <v>18</v>
      </c>
      <c r="D188" s="145">
        <f t="shared" si="9"/>
        <v>0.22</v>
      </c>
      <c r="E188" s="15">
        <f>D188+МРСК!F188</f>
        <v>1.4815672792205732</v>
      </c>
      <c r="F188" s="46">
        <v>0.274</v>
      </c>
      <c r="G188" s="16">
        <v>80</v>
      </c>
      <c r="H188" s="46">
        <f t="shared" si="10"/>
        <v>1.2075672792205732</v>
      </c>
      <c r="I188" s="15">
        <v>0</v>
      </c>
      <c r="J188" s="48">
        <f>МРСК!K188</f>
        <v>2.625</v>
      </c>
      <c r="K188" s="46">
        <f t="shared" si="12"/>
        <v>1.4174327207794268</v>
      </c>
      <c r="L188" s="46">
        <f t="shared" si="11"/>
        <v>1.4174327207794268</v>
      </c>
      <c r="M188" s="34"/>
      <c r="N188" s="13">
        <v>1.05</v>
      </c>
      <c r="O188" s="47">
        <v>2.5</v>
      </c>
      <c r="Q188" s="13">
        <v>0.22</v>
      </c>
      <c r="R188" s="13" t="s">
        <v>18</v>
      </c>
      <c r="T188" s="13">
        <v>6.5</v>
      </c>
    </row>
    <row r="189" spans="1:20" s="13" customFormat="1" ht="19.5">
      <c r="A189" s="14">
        <v>110</v>
      </c>
      <c r="B189" s="210" t="s">
        <v>171</v>
      </c>
      <c r="C189" s="47" t="s">
        <v>7</v>
      </c>
      <c r="D189" s="145">
        <f t="shared" si="9"/>
        <v>0.3609</v>
      </c>
      <c r="E189" s="15">
        <f>D189+МРСК!F189</f>
        <v>8.117950986038444</v>
      </c>
      <c r="F189" s="46">
        <v>4.051</v>
      </c>
      <c r="G189" s="16">
        <v>120</v>
      </c>
      <c r="H189" s="46">
        <f t="shared" si="10"/>
        <v>4.066950986038444</v>
      </c>
      <c r="I189" s="15">
        <v>0</v>
      </c>
      <c r="J189" s="48">
        <f>МРСК!K189</f>
        <v>10.5</v>
      </c>
      <c r="K189" s="46">
        <f t="shared" si="12"/>
        <v>6.433049013961556</v>
      </c>
      <c r="L189" s="46">
        <f t="shared" si="11"/>
        <v>6.433049013961556</v>
      </c>
      <c r="M189" s="34"/>
      <c r="N189" s="13">
        <v>1.05</v>
      </c>
      <c r="O189" s="47">
        <v>10</v>
      </c>
      <c r="Q189" s="13">
        <f>0.044+0.3169</f>
        <v>0.3609</v>
      </c>
      <c r="R189" s="13" t="s">
        <v>7</v>
      </c>
      <c r="T189" s="13">
        <v>20</v>
      </c>
    </row>
    <row r="190" spans="1:20" s="13" customFormat="1" ht="19.5">
      <c r="A190" s="14">
        <v>111</v>
      </c>
      <c r="B190" s="210" t="s">
        <v>172</v>
      </c>
      <c r="C190" s="47" t="s">
        <v>12</v>
      </c>
      <c r="D190" s="145">
        <f t="shared" si="9"/>
        <v>0.03</v>
      </c>
      <c r="E190" s="15">
        <f>D190+МРСК!F190</f>
        <v>0.6984010771984139</v>
      </c>
      <c r="F190" s="46">
        <v>0.42</v>
      </c>
      <c r="G190" s="16">
        <v>80</v>
      </c>
      <c r="H190" s="46">
        <f t="shared" si="10"/>
        <v>0.27840107719841395</v>
      </c>
      <c r="I190" s="15">
        <v>0</v>
      </c>
      <c r="J190" s="48">
        <f>МРСК!K190</f>
        <v>2.625</v>
      </c>
      <c r="K190" s="46">
        <f t="shared" si="12"/>
        <v>2.346598922801586</v>
      </c>
      <c r="L190" s="46">
        <f t="shared" si="11"/>
        <v>2.346598922801586</v>
      </c>
      <c r="M190" s="34"/>
      <c r="N190" s="13">
        <v>1.05</v>
      </c>
      <c r="O190" s="47">
        <v>2.5</v>
      </c>
      <c r="Q190" s="13">
        <f>0.03</f>
        <v>0.03</v>
      </c>
      <c r="R190" s="13" t="s">
        <v>12</v>
      </c>
      <c r="T190" s="13">
        <v>5</v>
      </c>
    </row>
    <row r="191" spans="1:20" s="13" customFormat="1" ht="19.5">
      <c r="A191" s="14">
        <v>112</v>
      </c>
      <c r="B191" s="210" t="s">
        <v>173</v>
      </c>
      <c r="C191" s="47" t="s">
        <v>17</v>
      </c>
      <c r="D191" s="145">
        <f t="shared" si="9"/>
        <v>0.06</v>
      </c>
      <c r="E191" s="15">
        <f>D191+МРСК!F191</f>
        <v>7.423307952272538</v>
      </c>
      <c r="F191" s="46">
        <v>1.707</v>
      </c>
      <c r="G191" s="16">
        <v>120</v>
      </c>
      <c r="H191" s="46">
        <f t="shared" si="10"/>
        <v>5.716307952272538</v>
      </c>
      <c r="I191" s="15">
        <v>0</v>
      </c>
      <c r="J191" s="48">
        <f>МРСК!K191</f>
        <v>21</v>
      </c>
      <c r="K191" s="46">
        <f t="shared" si="12"/>
        <v>15.283692047727463</v>
      </c>
      <c r="L191" s="46">
        <f t="shared" si="11"/>
        <v>15.283692047727463</v>
      </c>
      <c r="M191" s="34"/>
      <c r="N191" s="13">
        <v>1.05</v>
      </c>
      <c r="O191" s="47">
        <v>20</v>
      </c>
      <c r="Q191" s="13">
        <v>0.06</v>
      </c>
      <c r="R191" s="13" t="s">
        <v>17</v>
      </c>
      <c r="T191" s="13">
        <v>30</v>
      </c>
    </row>
    <row r="192" spans="1:20" s="13" customFormat="1" ht="19.5">
      <c r="A192" s="14">
        <v>113</v>
      </c>
      <c r="B192" s="210" t="s">
        <v>174</v>
      </c>
      <c r="C192" s="47" t="s">
        <v>15</v>
      </c>
      <c r="D192" s="145">
        <f t="shared" si="9"/>
        <v>0.17500000000000002</v>
      </c>
      <c r="E192" s="15">
        <f>D192+МРСК!F192</f>
        <v>6.696447692038939</v>
      </c>
      <c r="F192" s="46">
        <v>3.88</v>
      </c>
      <c r="G192" s="16">
        <v>80</v>
      </c>
      <c r="H192" s="46">
        <f t="shared" si="10"/>
        <v>2.816447692038939</v>
      </c>
      <c r="I192" s="15">
        <v>0</v>
      </c>
      <c r="J192" s="48">
        <f>МРСК!K192</f>
        <v>6.615</v>
      </c>
      <c r="K192" s="46">
        <f t="shared" si="12"/>
        <v>3.798552307961061</v>
      </c>
      <c r="L192" s="46">
        <f t="shared" si="11"/>
        <v>3.798552307961061</v>
      </c>
      <c r="M192" s="34"/>
      <c r="N192" s="13">
        <v>1.05</v>
      </c>
      <c r="O192" s="47">
        <v>6.3</v>
      </c>
      <c r="Q192" s="13">
        <f>0.036+0.139</f>
        <v>0.17500000000000002</v>
      </c>
      <c r="R192" s="13" t="s">
        <v>15</v>
      </c>
      <c r="T192" s="13">
        <v>12.6</v>
      </c>
    </row>
    <row r="193" spans="1:20" s="13" customFormat="1" ht="19.5">
      <c r="A193" s="14">
        <v>114</v>
      </c>
      <c r="B193" s="210" t="s">
        <v>175</v>
      </c>
      <c r="C193" s="47" t="s">
        <v>12</v>
      </c>
      <c r="D193" s="145">
        <f t="shared" si="9"/>
        <v>1.444</v>
      </c>
      <c r="E193" s="15">
        <f>D193+МРСК!F193</f>
        <v>2.698801976409027</v>
      </c>
      <c r="F193" s="46">
        <v>0.5860328625822191</v>
      </c>
      <c r="G193" s="16">
        <v>80</v>
      </c>
      <c r="H193" s="46">
        <f t="shared" si="10"/>
        <v>2.1127691138268077</v>
      </c>
      <c r="I193" s="15">
        <v>0</v>
      </c>
      <c r="J193" s="48">
        <f>МРСК!K193</f>
        <v>2.625</v>
      </c>
      <c r="K193" s="46">
        <f t="shared" si="12"/>
        <v>0.5122308861731923</v>
      </c>
      <c r="L193" s="46">
        <f t="shared" si="11"/>
        <v>0.5122308861731923</v>
      </c>
      <c r="M193" s="34"/>
      <c r="N193" s="13">
        <v>1.05</v>
      </c>
      <c r="O193" s="47">
        <v>2.5</v>
      </c>
      <c r="Q193" s="13">
        <f>0.014+1.43</f>
        <v>1.444</v>
      </c>
      <c r="R193" s="13" t="s">
        <v>12</v>
      </c>
      <c r="T193" s="13">
        <v>5</v>
      </c>
    </row>
    <row r="194" spans="1:20" s="13" customFormat="1" ht="19.5">
      <c r="A194" s="14">
        <v>115</v>
      </c>
      <c r="B194" s="210" t="s">
        <v>176</v>
      </c>
      <c r="C194" s="47" t="s">
        <v>13</v>
      </c>
      <c r="D194" s="145">
        <f t="shared" si="9"/>
        <v>0.862</v>
      </c>
      <c r="E194" s="15">
        <f>D194+МРСК!F194</f>
        <v>3.8729134826494103</v>
      </c>
      <c r="F194" s="46">
        <v>2.056</v>
      </c>
      <c r="G194" s="16">
        <v>45</v>
      </c>
      <c r="H194" s="46">
        <f t="shared" si="10"/>
        <v>1.8169134826494102</v>
      </c>
      <c r="I194" s="15">
        <v>0</v>
      </c>
      <c r="J194" s="48">
        <f>МРСК!K194</f>
        <v>4.2</v>
      </c>
      <c r="K194" s="46">
        <f t="shared" si="12"/>
        <v>2.38308651735059</v>
      </c>
      <c r="L194" s="46">
        <f t="shared" si="11"/>
        <v>2.38308651735059</v>
      </c>
      <c r="M194" s="34"/>
      <c r="N194" s="13">
        <v>1.05</v>
      </c>
      <c r="O194" s="47">
        <v>4</v>
      </c>
      <c r="Q194" s="13">
        <f>0.015+0.13+0.717</f>
        <v>0.862</v>
      </c>
      <c r="R194" s="13" t="s">
        <v>13</v>
      </c>
      <c r="T194" s="13">
        <v>8</v>
      </c>
    </row>
    <row r="195" spans="1:20" s="13" customFormat="1" ht="19.5">
      <c r="A195" s="14">
        <v>116</v>
      </c>
      <c r="B195" s="210" t="s">
        <v>177</v>
      </c>
      <c r="C195" s="47" t="s">
        <v>16</v>
      </c>
      <c r="D195" s="145">
        <f t="shared" si="9"/>
        <v>0</v>
      </c>
      <c r="E195" s="15">
        <f>D195+МРСК!F195</f>
        <v>1.3775340286178053</v>
      </c>
      <c r="F195" s="46">
        <v>0.939351515379801</v>
      </c>
      <c r="G195" s="16">
        <v>120</v>
      </c>
      <c r="H195" s="46">
        <f t="shared" si="10"/>
        <v>0.4381825132380043</v>
      </c>
      <c r="I195" s="15">
        <v>0</v>
      </c>
      <c r="J195" s="48">
        <f>МРСК!K195</f>
        <v>2.625</v>
      </c>
      <c r="K195" s="46">
        <f t="shared" si="12"/>
        <v>2.1868174867619956</v>
      </c>
      <c r="L195" s="46">
        <f t="shared" si="11"/>
        <v>2.1868174867619956</v>
      </c>
      <c r="M195" s="34"/>
      <c r="N195" s="13">
        <v>1.05</v>
      </c>
      <c r="O195" s="47">
        <v>2.5</v>
      </c>
      <c r="Q195" s="13">
        <v>0</v>
      </c>
      <c r="R195" s="13" t="s">
        <v>16</v>
      </c>
      <c r="T195" s="13">
        <v>6.5</v>
      </c>
    </row>
    <row r="196" spans="1:20" s="13" customFormat="1" ht="19.5">
      <c r="A196" s="14">
        <v>117</v>
      </c>
      <c r="B196" s="210" t="s">
        <v>178</v>
      </c>
      <c r="C196" s="47" t="s">
        <v>18</v>
      </c>
      <c r="D196" s="145">
        <f t="shared" si="9"/>
        <v>0</v>
      </c>
      <c r="E196" s="15">
        <f>D196+МРСК!F196</f>
        <v>1.6734831938206012</v>
      </c>
      <c r="F196" s="46">
        <v>0.8714116873317177</v>
      </c>
      <c r="G196" s="16">
        <v>45</v>
      </c>
      <c r="H196" s="46">
        <f t="shared" si="10"/>
        <v>0.8020715064888835</v>
      </c>
      <c r="I196" s="15">
        <v>0</v>
      </c>
      <c r="J196" s="48">
        <f>МРСК!K196</f>
        <v>2.625</v>
      </c>
      <c r="K196" s="46">
        <f t="shared" si="12"/>
        <v>1.8229284935111165</v>
      </c>
      <c r="L196" s="46">
        <f t="shared" si="11"/>
        <v>1.8229284935111165</v>
      </c>
      <c r="M196" s="34"/>
      <c r="N196" s="13">
        <v>1.05</v>
      </c>
      <c r="O196" s="47">
        <v>2.5</v>
      </c>
      <c r="Q196" s="13">
        <v>0</v>
      </c>
      <c r="R196" s="13" t="s">
        <v>18</v>
      </c>
      <c r="T196" s="13">
        <v>6.5</v>
      </c>
    </row>
    <row r="197" spans="1:20" s="13" customFormat="1" ht="19.5">
      <c r="A197" s="14">
        <v>118</v>
      </c>
      <c r="B197" s="210" t="s">
        <v>179</v>
      </c>
      <c r="C197" s="47" t="s">
        <v>13</v>
      </c>
      <c r="D197" s="145">
        <f t="shared" si="9"/>
        <v>0.015</v>
      </c>
      <c r="E197" s="15">
        <f>D197+МРСК!F197</f>
        <v>2.5188626160394665</v>
      </c>
      <c r="F197" s="46">
        <v>0.736</v>
      </c>
      <c r="G197" s="16">
        <v>120</v>
      </c>
      <c r="H197" s="46">
        <f t="shared" si="10"/>
        <v>1.7828626160394665</v>
      </c>
      <c r="I197" s="15">
        <v>0</v>
      </c>
      <c r="J197" s="48">
        <f>МРСК!K197</f>
        <v>4.2</v>
      </c>
      <c r="K197" s="46">
        <f t="shared" si="12"/>
        <v>2.417137383960534</v>
      </c>
      <c r="L197" s="46">
        <f t="shared" si="11"/>
        <v>2.417137383960534</v>
      </c>
      <c r="M197" s="34"/>
      <c r="N197" s="13">
        <v>1.05</v>
      </c>
      <c r="O197" s="47">
        <v>4</v>
      </c>
      <c r="Q197" s="13">
        <v>0.015</v>
      </c>
      <c r="R197" s="13" t="s">
        <v>13</v>
      </c>
      <c r="T197" s="13">
        <v>8</v>
      </c>
    </row>
    <row r="198" spans="1:20" s="13" customFormat="1" ht="19.5">
      <c r="A198" s="14">
        <v>119</v>
      </c>
      <c r="B198" s="210" t="s">
        <v>180</v>
      </c>
      <c r="C198" s="47" t="s">
        <v>12</v>
      </c>
      <c r="D198" s="145">
        <f t="shared" si="9"/>
        <v>0.09</v>
      </c>
      <c r="E198" s="15">
        <f>D198+МРСК!F198</f>
        <v>1.1905453193758084</v>
      </c>
      <c r="F198" s="46">
        <v>0.712</v>
      </c>
      <c r="G198" s="16">
        <v>120</v>
      </c>
      <c r="H198" s="46">
        <f t="shared" si="10"/>
        <v>0.47854531937580846</v>
      </c>
      <c r="I198" s="15">
        <v>0</v>
      </c>
      <c r="J198" s="48">
        <f>МРСК!K198</f>
        <v>2.625</v>
      </c>
      <c r="K198" s="46">
        <f t="shared" si="12"/>
        <v>2.1464546806241915</v>
      </c>
      <c r="L198" s="46">
        <f t="shared" si="11"/>
        <v>2.1464546806241915</v>
      </c>
      <c r="M198" s="34"/>
      <c r="N198" s="13">
        <v>1.05</v>
      </c>
      <c r="O198" s="47">
        <v>2.5</v>
      </c>
      <c r="Q198" s="13">
        <f>0.09</f>
        <v>0.09</v>
      </c>
      <c r="R198" s="13" t="s">
        <v>12</v>
      </c>
      <c r="T198" s="13">
        <v>5</v>
      </c>
    </row>
    <row r="199" spans="1:20" s="13" customFormat="1" ht="19.5">
      <c r="A199" s="14">
        <v>120</v>
      </c>
      <c r="B199" s="210" t="s">
        <v>181</v>
      </c>
      <c r="C199" s="47" t="s">
        <v>15</v>
      </c>
      <c r="D199" s="145">
        <f t="shared" si="9"/>
        <v>0.065</v>
      </c>
      <c r="E199" s="15">
        <f>D199+МРСК!F199</f>
        <v>3.5533692465104663</v>
      </c>
      <c r="F199" s="46">
        <v>0.7035</v>
      </c>
      <c r="G199" s="16">
        <v>120</v>
      </c>
      <c r="H199" s="46">
        <f t="shared" si="10"/>
        <v>2.8498692465104662</v>
      </c>
      <c r="I199" s="15">
        <v>0</v>
      </c>
      <c r="J199" s="48">
        <f>МРСК!K199</f>
        <v>6.615</v>
      </c>
      <c r="K199" s="46">
        <f t="shared" si="12"/>
        <v>3.765130753489534</v>
      </c>
      <c r="L199" s="46">
        <f t="shared" si="11"/>
        <v>3.765130753489534</v>
      </c>
      <c r="M199" s="34"/>
      <c r="N199" s="13">
        <v>1.05</v>
      </c>
      <c r="O199" s="47">
        <v>6.3</v>
      </c>
      <c r="Q199" s="13">
        <f>0.015+0.05</f>
        <v>0.065</v>
      </c>
      <c r="R199" s="13" t="s">
        <v>15</v>
      </c>
      <c r="T199" s="13">
        <v>12.6</v>
      </c>
    </row>
    <row r="200" spans="1:20" s="13" customFormat="1" ht="19.5">
      <c r="A200" s="14">
        <v>121</v>
      </c>
      <c r="B200" s="210" t="s">
        <v>182</v>
      </c>
      <c r="C200" s="47" t="s">
        <v>12</v>
      </c>
      <c r="D200" s="145">
        <f t="shared" si="9"/>
        <v>0</v>
      </c>
      <c r="E200" s="15">
        <f>D200+МРСК!F200</f>
        <v>2.780181289052928</v>
      </c>
      <c r="F200" s="46">
        <v>1.6480094565606436</v>
      </c>
      <c r="G200" s="16">
        <v>20</v>
      </c>
      <c r="H200" s="46">
        <f t="shared" si="10"/>
        <v>1.1321718324922845</v>
      </c>
      <c r="I200" s="15">
        <v>0</v>
      </c>
      <c r="J200" s="48">
        <f>МРСК!K200</f>
        <v>2.625</v>
      </c>
      <c r="K200" s="46">
        <f t="shared" si="12"/>
        <v>1.4928281675077155</v>
      </c>
      <c r="L200" s="46">
        <f t="shared" si="11"/>
        <v>1.4928281675077155</v>
      </c>
      <c r="M200" s="34"/>
      <c r="N200" s="13">
        <v>1.05</v>
      </c>
      <c r="O200" s="47">
        <v>2.5</v>
      </c>
      <c r="Q200" s="13">
        <v>0</v>
      </c>
      <c r="R200" s="13" t="s">
        <v>12</v>
      </c>
      <c r="T200" s="13">
        <v>5</v>
      </c>
    </row>
    <row r="201" spans="1:20" s="13" customFormat="1" ht="19.5">
      <c r="A201" s="14">
        <v>122</v>
      </c>
      <c r="B201" s="210" t="s">
        <v>183</v>
      </c>
      <c r="C201" s="47" t="s">
        <v>18</v>
      </c>
      <c r="D201" s="145">
        <f t="shared" si="9"/>
        <v>0</v>
      </c>
      <c r="E201" s="15">
        <f>D201+МРСК!F201</f>
        <v>0.9069729874698584</v>
      </c>
      <c r="F201" s="46">
        <v>0.6285950453618376</v>
      </c>
      <c r="G201" s="16">
        <v>45</v>
      </c>
      <c r="H201" s="46">
        <f t="shared" si="10"/>
        <v>0.2783779421080208</v>
      </c>
      <c r="I201" s="15">
        <v>0</v>
      </c>
      <c r="J201" s="48">
        <f>МРСК!K201</f>
        <v>2.625</v>
      </c>
      <c r="K201" s="46">
        <f t="shared" si="12"/>
        <v>2.346622057891979</v>
      </c>
      <c r="L201" s="46">
        <f t="shared" si="11"/>
        <v>2.346622057891979</v>
      </c>
      <c r="M201" s="34"/>
      <c r="N201" s="13">
        <v>1.05</v>
      </c>
      <c r="O201" s="47">
        <v>2.5</v>
      </c>
      <c r="Q201" s="13">
        <v>0</v>
      </c>
      <c r="R201" s="13" t="s">
        <v>18</v>
      </c>
      <c r="T201" s="13">
        <v>6.5</v>
      </c>
    </row>
    <row r="202" spans="1:20" s="13" customFormat="1" ht="19.5">
      <c r="A202" s="14">
        <v>123</v>
      </c>
      <c r="B202" s="210" t="s">
        <v>184</v>
      </c>
      <c r="C202" s="47" t="s">
        <v>16</v>
      </c>
      <c r="D202" s="145">
        <f t="shared" si="9"/>
        <v>0</v>
      </c>
      <c r="E202" s="15">
        <f>D202+МРСК!F202</f>
        <v>1.2050560152955547</v>
      </c>
      <c r="F202" s="46">
        <v>1.1395214781841227</v>
      </c>
      <c r="G202" s="16">
        <v>80</v>
      </c>
      <c r="H202" s="46">
        <f t="shared" si="10"/>
        <v>0.06553453711143198</v>
      </c>
      <c r="I202" s="15">
        <v>0</v>
      </c>
      <c r="J202" s="48">
        <f>МРСК!K202</f>
        <v>2.625</v>
      </c>
      <c r="K202" s="46">
        <f t="shared" si="12"/>
        <v>2.559465462888568</v>
      </c>
      <c r="L202" s="46">
        <f t="shared" si="11"/>
        <v>2.559465462888568</v>
      </c>
      <c r="M202" s="34"/>
      <c r="N202" s="13">
        <v>1.05</v>
      </c>
      <c r="O202" s="47">
        <v>2.5</v>
      </c>
      <c r="Q202" s="13">
        <v>0</v>
      </c>
      <c r="R202" s="13" t="s">
        <v>16</v>
      </c>
      <c r="T202" s="13">
        <v>6.5</v>
      </c>
    </row>
    <row r="203" spans="1:20" s="13" customFormat="1" ht="19.5">
      <c r="A203" s="14">
        <v>124</v>
      </c>
      <c r="B203" s="210" t="s">
        <v>185</v>
      </c>
      <c r="C203" s="47" t="s">
        <v>16</v>
      </c>
      <c r="D203" s="145">
        <f t="shared" si="9"/>
        <v>0.107</v>
      </c>
      <c r="E203" s="15">
        <f>D203+МРСК!F203</f>
        <v>1.3150066224984034</v>
      </c>
      <c r="F203" s="46">
        <v>0.6781782133174243</v>
      </c>
      <c r="G203" s="16">
        <v>120</v>
      </c>
      <c r="H203" s="46">
        <f t="shared" si="10"/>
        <v>0.636828409180979</v>
      </c>
      <c r="I203" s="15">
        <v>0</v>
      </c>
      <c r="J203" s="48">
        <f>МРСК!K203</f>
        <v>2.625</v>
      </c>
      <c r="K203" s="46">
        <f t="shared" si="12"/>
        <v>1.988171590819021</v>
      </c>
      <c r="L203" s="46">
        <f t="shared" si="11"/>
        <v>1.988171590819021</v>
      </c>
      <c r="M203" s="34"/>
      <c r="N203" s="13">
        <v>1.05</v>
      </c>
      <c r="O203" s="47">
        <v>2.5</v>
      </c>
      <c r="Q203" s="13">
        <f>0.095+0.012</f>
        <v>0.107</v>
      </c>
      <c r="R203" s="13" t="s">
        <v>16</v>
      </c>
      <c r="T203" s="13">
        <v>6.5</v>
      </c>
    </row>
    <row r="204" spans="1:20" s="13" customFormat="1" ht="19.5">
      <c r="A204" s="14">
        <v>125</v>
      </c>
      <c r="B204" s="210" t="s">
        <v>186</v>
      </c>
      <c r="C204" s="47" t="s">
        <v>13</v>
      </c>
      <c r="D204" s="145">
        <f aca="true" t="shared" si="13" ref="D204:D255">Q204</f>
        <v>0.03</v>
      </c>
      <c r="E204" s="15">
        <f>D204+МРСК!F204</f>
        <v>3.0638464034950745</v>
      </c>
      <c r="F204" s="46">
        <v>1.7970144010193758</v>
      </c>
      <c r="G204" s="16">
        <v>80</v>
      </c>
      <c r="H204" s="46">
        <f aca="true" t="shared" si="14" ref="H204:H255">E204-F204</f>
        <v>1.2668320024756987</v>
      </c>
      <c r="I204" s="15">
        <v>0</v>
      </c>
      <c r="J204" s="48">
        <f>МРСК!K204</f>
        <v>4.2</v>
      </c>
      <c r="K204" s="46">
        <f t="shared" si="12"/>
        <v>2.9331679975243015</v>
      </c>
      <c r="L204" s="46">
        <f t="shared" si="11"/>
        <v>2.9331679975243015</v>
      </c>
      <c r="M204" s="34"/>
      <c r="N204" s="13">
        <v>1.05</v>
      </c>
      <c r="O204" s="47">
        <v>4</v>
      </c>
      <c r="Q204" s="13">
        <v>0.03</v>
      </c>
      <c r="R204" s="13" t="s">
        <v>13</v>
      </c>
      <c r="T204" s="13">
        <v>8</v>
      </c>
    </row>
    <row r="205" spans="1:20" s="13" customFormat="1" ht="19.5">
      <c r="A205" s="14">
        <v>126</v>
      </c>
      <c r="B205" s="210" t="s">
        <v>187</v>
      </c>
      <c r="C205" s="47" t="s">
        <v>14</v>
      </c>
      <c r="D205" s="145">
        <f t="shared" si="13"/>
        <v>0.09</v>
      </c>
      <c r="E205" s="15">
        <f>D205+МРСК!F205</f>
        <v>4.721158062515249</v>
      </c>
      <c r="F205" s="46">
        <v>0.581</v>
      </c>
      <c r="G205" s="16">
        <v>120</v>
      </c>
      <c r="H205" s="46">
        <f t="shared" si="14"/>
        <v>4.140158062515249</v>
      </c>
      <c r="I205" s="15">
        <v>0</v>
      </c>
      <c r="J205" s="48">
        <f>МРСК!K205</f>
        <v>4.2</v>
      </c>
      <c r="K205" s="46">
        <f t="shared" si="12"/>
        <v>0.05984193748475075</v>
      </c>
      <c r="L205" s="46">
        <f t="shared" si="11"/>
        <v>0.05984193748475075</v>
      </c>
      <c r="M205" s="34"/>
      <c r="N205" s="13">
        <v>1.05</v>
      </c>
      <c r="O205" s="47">
        <v>4</v>
      </c>
      <c r="Q205" s="13">
        <f>0.04+0.015+0.035</f>
        <v>0.09</v>
      </c>
      <c r="R205" s="13" t="s">
        <v>14</v>
      </c>
      <c r="T205" s="13">
        <v>9.6</v>
      </c>
    </row>
    <row r="206" spans="1:20" s="13" customFormat="1" ht="19.5">
      <c r="A206" s="14">
        <v>127</v>
      </c>
      <c r="B206" s="210" t="s">
        <v>188</v>
      </c>
      <c r="C206" s="47" t="s">
        <v>13</v>
      </c>
      <c r="D206" s="145">
        <f t="shared" si="13"/>
        <v>0</v>
      </c>
      <c r="E206" s="15">
        <f>D206+МРСК!F206</f>
        <v>2.8985701647536497</v>
      </c>
      <c r="F206" s="46">
        <v>1.321</v>
      </c>
      <c r="G206" s="16">
        <v>80</v>
      </c>
      <c r="H206" s="46">
        <f t="shared" si="14"/>
        <v>1.5775701647536498</v>
      </c>
      <c r="I206" s="15">
        <v>0</v>
      </c>
      <c r="J206" s="48">
        <f>МРСК!K206</f>
        <v>4.2</v>
      </c>
      <c r="K206" s="46">
        <f t="shared" si="12"/>
        <v>2.6224298352463506</v>
      </c>
      <c r="L206" s="46">
        <f t="shared" si="11"/>
        <v>2.6224298352463506</v>
      </c>
      <c r="M206" s="34"/>
      <c r="N206" s="13">
        <v>1.05</v>
      </c>
      <c r="O206" s="47">
        <v>4</v>
      </c>
      <c r="Q206" s="13">
        <v>0</v>
      </c>
      <c r="R206" s="13" t="s">
        <v>13</v>
      </c>
      <c r="T206" s="13">
        <v>8</v>
      </c>
    </row>
    <row r="207" spans="1:20" s="13" customFormat="1" ht="19.5">
      <c r="A207" s="14">
        <v>128</v>
      </c>
      <c r="B207" s="210" t="s">
        <v>189</v>
      </c>
      <c r="C207" s="47" t="s">
        <v>13</v>
      </c>
      <c r="D207" s="145">
        <f t="shared" si="13"/>
        <v>0.985</v>
      </c>
      <c r="E207" s="15">
        <f>D207+МРСК!F207</f>
        <v>5.093295997125816</v>
      </c>
      <c r="F207" s="46">
        <v>1.541</v>
      </c>
      <c r="G207" s="16">
        <v>120</v>
      </c>
      <c r="H207" s="46">
        <f t="shared" si="14"/>
        <v>3.552295997125816</v>
      </c>
      <c r="I207" s="15">
        <v>0</v>
      </c>
      <c r="J207" s="48">
        <f>МРСК!K207</f>
        <v>4.2</v>
      </c>
      <c r="K207" s="46">
        <f t="shared" si="12"/>
        <v>0.6477040028741841</v>
      </c>
      <c r="L207" s="46">
        <f t="shared" si="11"/>
        <v>0.6477040028741841</v>
      </c>
      <c r="M207" s="34"/>
      <c r="N207" s="13">
        <v>1.05</v>
      </c>
      <c r="O207" s="47">
        <v>4</v>
      </c>
      <c r="Q207" s="13">
        <f>0.97+0.015</f>
        <v>0.985</v>
      </c>
      <c r="R207" s="13" t="s">
        <v>13</v>
      </c>
      <c r="T207" s="13">
        <v>8</v>
      </c>
    </row>
    <row r="208" spans="1:20" s="13" customFormat="1" ht="19.5">
      <c r="A208" s="14">
        <v>129</v>
      </c>
      <c r="B208" s="210" t="s">
        <v>190</v>
      </c>
      <c r="C208" s="47" t="s">
        <v>12</v>
      </c>
      <c r="D208" s="145">
        <f t="shared" si="13"/>
        <v>0</v>
      </c>
      <c r="E208" s="15">
        <f>D208+МРСК!F208</f>
        <v>0.8935770811743103</v>
      </c>
      <c r="F208" s="46">
        <v>0.6667165227139484</v>
      </c>
      <c r="G208" s="16">
        <v>80</v>
      </c>
      <c r="H208" s="46">
        <f t="shared" si="14"/>
        <v>0.2268605584603619</v>
      </c>
      <c r="I208" s="15">
        <v>0</v>
      </c>
      <c r="J208" s="48">
        <f>МРСК!K208</f>
        <v>2.625</v>
      </c>
      <c r="K208" s="46">
        <f t="shared" si="12"/>
        <v>2.398139441539638</v>
      </c>
      <c r="L208" s="46">
        <f t="shared" si="11"/>
        <v>2.398139441539638</v>
      </c>
      <c r="M208" s="34"/>
      <c r="N208" s="13">
        <v>1.05</v>
      </c>
      <c r="O208" s="47">
        <v>2.5</v>
      </c>
      <c r="Q208" s="13">
        <v>0</v>
      </c>
      <c r="R208" s="13" t="s">
        <v>12</v>
      </c>
      <c r="T208" s="13">
        <v>5</v>
      </c>
    </row>
    <row r="209" spans="1:20" s="13" customFormat="1" ht="19.5">
      <c r="A209" s="14">
        <v>130</v>
      </c>
      <c r="B209" s="210" t="s">
        <v>191</v>
      </c>
      <c r="C209" s="47" t="s">
        <v>15</v>
      </c>
      <c r="D209" s="145">
        <f t="shared" si="13"/>
        <v>0.7663</v>
      </c>
      <c r="E209" s="15">
        <f>D209+МРСК!F209</f>
        <v>7.645691833585292</v>
      </c>
      <c r="F209" s="46">
        <v>1.81</v>
      </c>
      <c r="G209" s="16">
        <v>45</v>
      </c>
      <c r="H209" s="46">
        <f t="shared" si="14"/>
        <v>5.835691833585292</v>
      </c>
      <c r="I209" s="15">
        <v>0</v>
      </c>
      <c r="J209" s="48">
        <f>МРСК!K209</f>
        <v>6.615</v>
      </c>
      <c r="K209" s="46">
        <f t="shared" si="12"/>
        <v>0.7793081664147081</v>
      </c>
      <c r="L209" s="46">
        <f t="shared" si="11"/>
        <v>0.7793081664147081</v>
      </c>
      <c r="M209" s="34"/>
      <c r="N209" s="13">
        <v>1.05</v>
      </c>
      <c r="O209" s="47">
        <v>6.3</v>
      </c>
      <c r="Q209" s="13">
        <v>0.7663</v>
      </c>
      <c r="R209" s="13" t="s">
        <v>15</v>
      </c>
      <c r="T209" s="13">
        <v>12.6</v>
      </c>
    </row>
    <row r="210" spans="1:20" s="13" customFormat="1" ht="19.5">
      <c r="A210" s="14">
        <v>131</v>
      </c>
      <c r="B210" s="210" t="s">
        <v>192</v>
      </c>
      <c r="C210" s="47" t="s">
        <v>12</v>
      </c>
      <c r="D210" s="145">
        <f t="shared" si="13"/>
        <v>0.02</v>
      </c>
      <c r="E210" s="15">
        <f>D210+МРСК!F210</f>
        <v>0.6967924349458998</v>
      </c>
      <c r="F210" s="46">
        <v>0.6071607971904307</v>
      </c>
      <c r="G210" s="16">
        <v>80</v>
      </c>
      <c r="H210" s="46">
        <f t="shared" si="14"/>
        <v>0.08963163775546912</v>
      </c>
      <c r="I210" s="15">
        <v>0</v>
      </c>
      <c r="J210" s="48">
        <f>МРСК!K210</f>
        <v>2.625</v>
      </c>
      <c r="K210" s="46">
        <f t="shared" si="12"/>
        <v>2.535368362244531</v>
      </c>
      <c r="L210" s="46">
        <f t="shared" si="11"/>
        <v>2.535368362244531</v>
      </c>
      <c r="M210" s="34"/>
      <c r="N210" s="13">
        <v>1.05</v>
      </c>
      <c r="O210" s="47">
        <v>2.5</v>
      </c>
      <c r="Q210" s="13">
        <v>0.02</v>
      </c>
      <c r="R210" s="13" t="s">
        <v>12</v>
      </c>
      <c r="T210" s="13">
        <v>5</v>
      </c>
    </row>
    <row r="211" spans="1:20" s="13" customFormat="1" ht="19.5">
      <c r="A211" s="14">
        <v>132</v>
      </c>
      <c r="B211" s="210" t="s">
        <v>193</v>
      </c>
      <c r="C211" s="47" t="s">
        <v>7</v>
      </c>
      <c r="D211" s="145">
        <f t="shared" si="13"/>
        <v>0.04</v>
      </c>
      <c r="E211" s="15">
        <f>D211+МРСК!F211</f>
        <v>6.967556567795026</v>
      </c>
      <c r="F211" s="46">
        <v>1.357</v>
      </c>
      <c r="G211" s="16">
        <v>120</v>
      </c>
      <c r="H211" s="46">
        <f t="shared" si="14"/>
        <v>5.610556567795026</v>
      </c>
      <c r="I211" s="15">
        <v>0</v>
      </c>
      <c r="J211" s="48">
        <f>МРСК!K211</f>
        <v>10.5</v>
      </c>
      <c r="K211" s="46">
        <f t="shared" si="12"/>
        <v>4.889443432204974</v>
      </c>
      <c r="L211" s="46">
        <f t="shared" si="11"/>
        <v>4.889443432204974</v>
      </c>
      <c r="M211" s="34"/>
      <c r="N211" s="13">
        <v>1.05</v>
      </c>
      <c r="O211" s="47">
        <v>10</v>
      </c>
      <c r="Q211" s="13">
        <v>0.04</v>
      </c>
      <c r="R211" s="13" t="s">
        <v>7</v>
      </c>
      <c r="T211" s="13">
        <v>20</v>
      </c>
    </row>
    <row r="212" spans="1:20" s="13" customFormat="1" ht="19.5">
      <c r="A212" s="14">
        <v>133</v>
      </c>
      <c r="B212" s="210" t="s">
        <v>194</v>
      </c>
      <c r="C212" s="47" t="s">
        <v>12</v>
      </c>
      <c r="D212" s="145">
        <f t="shared" si="13"/>
        <v>0.01</v>
      </c>
      <c r="E212" s="15">
        <f>D212+МРСК!F212</f>
        <v>1.5611247532033006</v>
      </c>
      <c r="F212" s="46">
        <v>0.6556492964992795</v>
      </c>
      <c r="G212" s="16">
        <v>80</v>
      </c>
      <c r="H212" s="46">
        <f t="shared" si="14"/>
        <v>0.9054754567040211</v>
      </c>
      <c r="I212" s="15">
        <v>0</v>
      </c>
      <c r="J212" s="48">
        <f>МРСК!K212</f>
        <v>2.625</v>
      </c>
      <c r="K212" s="46">
        <f t="shared" si="12"/>
        <v>1.719524543295979</v>
      </c>
      <c r="L212" s="46">
        <f t="shared" si="11"/>
        <v>1.719524543295979</v>
      </c>
      <c r="M212" s="34"/>
      <c r="N212" s="13">
        <v>1.05</v>
      </c>
      <c r="O212" s="47">
        <v>2.5</v>
      </c>
      <c r="Q212" s="13">
        <f>0.01</f>
        <v>0.01</v>
      </c>
      <c r="R212" s="13" t="s">
        <v>12</v>
      </c>
      <c r="T212" s="13">
        <v>5</v>
      </c>
    </row>
    <row r="213" spans="1:20" s="13" customFormat="1" ht="19.5">
      <c r="A213" s="14">
        <v>134</v>
      </c>
      <c r="B213" s="210" t="s">
        <v>195</v>
      </c>
      <c r="C213" s="47" t="s">
        <v>12</v>
      </c>
      <c r="D213" s="145">
        <f t="shared" si="13"/>
        <v>0.031</v>
      </c>
      <c r="E213" s="15">
        <f>D213+МРСК!F213</f>
        <v>1.4853534646020545</v>
      </c>
      <c r="F213" s="46">
        <v>0.643</v>
      </c>
      <c r="G213" s="16">
        <v>80</v>
      </c>
      <c r="H213" s="46">
        <f t="shared" si="14"/>
        <v>0.8423534646020545</v>
      </c>
      <c r="I213" s="15">
        <v>0</v>
      </c>
      <c r="J213" s="48">
        <f>МРСК!K213</f>
        <v>2.625</v>
      </c>
      <c r="K213" s="46">
        <f t="shared" si="12"/>
        <v>1.7826465353979455</v>
      </c>
      <c r="L213" s="46">
        <f t="shared" si="11"/>
        <v>1.7826465353979455</v>
      </c>
      <c r="M213" s="34"/>
      <c r="N213" s="13">
        <v>1.05</v>
      </c>
      <c r="O213" s="47">
        <v>2.5</v>
      </c>
      <c r="Q213" s="13">
        <f>0.014+0.017</f>
        <v>0.031</v>
      </c>
      <c r="R213" s="13" t="s">
        <v>12</v>
      </c>
      <c r="T213" s="13">
        <v>5</v>
      </c>
    </row>
    <row r="214" spans="1:20" s="13" customFormat="1" ht="19.5">
      <c r="A214" s="14">
        <v>135</v>
      </c>
      <c r="B214" s="210" t="s">
        <v>196</v>
      </c>
      <c r="C214" s="47" t="s">
        <v>12</v>
      </c>
      <c r="D214" s="145">
        <f t="shared" si="13"/>
        <v>0</v>
      </c>
      <c r="E214" s="15">
        <f>D214+МРСК!F214</f>
        <v>1.226614853978216</v>
      </c>
      <c r="F214" s="46">
        <v>0.5931509082855728</v>
      </c>
      <c r="G214" s="16">
        <v>120</v>
      </c>
      <c r="H214" s="46">
        <f t="shared" si="14"/>
        <v>0.6334639456926432</v>
      </c>
      <c r="I214" s="15">
        <v>0</v>
      </c>
      <c r="J214" s="48">
        <f>МРСК!K214</f>
        <v>2.625</v>
      </c>
      <c r="K214" s="46">
        <f t="shared" si="12"/>
        <v>1.9915360543073568</v>
      </c>
      <c r="L214" s="46">
        <f t="shared" si="11"/>
        <v>1.9915360543073568</v>
      </c>
      <c r="M214" s="34"/>
      <c r="N214" s="13">
        <v>1.05</v>
      </c>
      <c r="O214" s="47">
        <v>2.5</v>
      </c>
      <c r="Q214" s="13">
        <v>0</v>
      </c>
      <c r="R214" s="13" t="s">
        <v>12</v>
      </c>
      <c r="T214" s="13">
        <v>5</v>
      </c>
    </row>
    <row r="215" spans="1:20" s="13" customFormat="1" ht="19.5">
      <c r="A215" s="14">
        <v>136</v>
      </c>
      <c r="B215" s="210" t="s">
        <v>197</v>
      </c>
      <c r="C215" s="47" t="s">
        <v>15</v>
      </c>
      <c r="D215" s="145">
        <f t="shared" si="13"/>
        <v>0.181</v>
      </c>
      <c r="E215" s="15">
        <f>D215+МРСК!F215</f>
        <v>6.374136846542307</v>
      </c>
      <c r="F215" s="46">
        <v>2.78</v>
      </c>
      <c r="G215" s="16">
        <v>120</v>
      </c>
      <c r="H215" s="46">
        <f t="shared" si="14"/>
        <v>3.5941368465423076</v>
      </c>
      <c r="I215" s="15">
        <v>0</v>
      </c>
      <c r="J215" s="48">
        <f>МРСК!K215</f>
        <v>6.615</v>
      </c>
      <c r="K215" s="46">
        <f t="shared" si="12"/>
        <v>3.0208631534576926</v>
      </c>
      <c r="L215" s="46">
        <f t="shared" si="11"/>
        <v>3.0208631534576926</v>
      </c>
      <c r="M215" s="34"/>
      <c r="N215" s="13">
        <v>1.05</v>
      </c>
      <c r="O215" s="23">
        <v>4</v>
      </c>
      <c r="Q215" s="13">
        <f>0.014+0.06+0.107</f>
        <v>0.181</v>
      </c>
      <c r="R215" s="13" t="s">
        <v>15</v>
      </c>
      <c r="T215" s="13">
        <v>12.6</v>
      </c>
    </row>
    <row r="216" spans="1:20" s="13" customFormat="1" ht="19.5">
      <c r="A216" s="14">
        <v>137</v>
      </c>
      <c r="B216" s="210" t="s">
        <v>198</v>
      </c>
      <c r="C216" s="47" t="s">
        <v>15</v>
      </c>
      <c r="D216" s="145">
        <f t="shared" si="13"/>
        <v>0.31920000000000004</v>
      </c>
      <c r="E216" s="15">
        <f>D216+МРСК!F216</f>
        <v>3.8007720587114093</v>
      </c>
      <c r="F216" s="46">
        <v>0.842</v>
      </c>
      <c r="G216" s="16">
        <v>45</v>
      </c>
      <c r="H216" s="46">
        <f t="shared" si="14"/>
        <v>2.9587720587114092</v>
      </c>
      <c r="I216" s="15">
        <v>0</v>
      </c>
      <c r="J216" s="48">
        <f>МРСК!K216</f>
        <v>6.615</v>
      </c>
      <c r="K216" s="46">
        <f t="shared" si="12"/>
        <v>3.656227941288591</v>
      </c>
      <c r="L216" s="46">
        <f t="shared" si="11"/>
        <v>3.656227941288591</v>
      </c>
      <c r="M216" s="34"/>
      <c r="N216" s="13">
        <v>1.05</v>
      </c>
      <c r="O216" s="23" t="s">
        <v>26</v>
      </c>
      <c r="Q216" s="13">
        <f>0.015+0.3042</f>
        <v>0.31920000000000004</v>
      </c>
      <c r="R216" s="13" t="s">
        <v>15</v>
      </c>
      <c r="T216" s="13">
        <v>12.6</v>
      </c>
    </row>
    <row r="217" spans="1:20" s="13" customFormat="1" ht="19.5">
      <c r="A217" s="14">
        <v>138</v>
      </c>
      <c r="B217" s="210" t="s">
        <v>199</v>
      </c>
      <c r="C217" s="47" t="s">
        <v>16</v>
      </c>
      <c r="D217" s="145">
        <f t="shared" si="13"/>
        <v>1.245</v>
      </c>
      <c r="E217" s="15">
        <f>D217+МРСК!F217</f>
        <v>3.0252696424980123</v>
      </c>
      <c r="F217" s="46">
        <v>0.57</v>
      </c>
      <c r="G217" s="16">
        <v>80</v>
      </c>
      <c r="H217" s="46">
        <f t="shared" si="14"/>
        <v>2.4552696424980125</v>
      </c>
      <c r="I217" s="15">
        <v>0</v>
      </c>
      <c r="J217" s="48">
        <f>МРСК!K217</f>
        <v>2.625</v>
      </c>
      <c r="K217" s="46">
        <f t="shared" si="12"/>
        <v>0.1697303575019875</v>
      </c>
      <c r="L217" s="46">
        <f t="shared" si="11"/>
        <v>0.1697303575019875</v>
      </c>
      <c r="M217" s="34"/>
      <c r="N217" s="13">
        <v>1.05</v>
      </c>
      <c r="O217" s="23" t="s">
        <v>25</v>
      </c>
      <c r="Q217" s="13">
        <v>1.245</v>
      </c>
      <c r="R217" s="13" t="s">
        <v>16</v>
      </c>
      <c r="T217" s="13">
        <v>6.5</v>
      </c>
    </row>
    <row r="218" spans="1:20" s="13" customFormat="1" ht="19.5">
      <c r="A218" s="14">
        <v>139</v>
      </c>
      <c r="B218" s="210" t="s">
        <v>200</v>
      </c>
      <c r="C218" s="47" t="s">
        <v>18</v>
      </c>
      <c r="D218" s="145">
        <f t="shared" si="13"/>
        <v>0.015</v>
      </c>
      <c r="E218" s="15">
        <f>D218+МРСК!F218</f>
        <v>0.34149655434629017</v>
      </c>
      <c r="F218" s="46">
        <v>0.19</v>
      </c>
      <c r="G218" s="16">
        <v>80</v>
      </c>
      <c r="H218" s="46">
        <f t="shared" si="14"/>
        <v>0.15149655434629017</v>
      </c>
      <c r="I218" s="15">
        <v>0</v>
      </c>
      <c r="J218" s="48">
        <f>МРСК!K218</f>
        <v>2.625</v>
      </c>
      <c r="K218" s="46">
        <f t="shared" si="12"/>
        <v>2.47350344565371</v>
      </c>
      <c r="L218" s="46">
        <f t="shared" si="11"/>
        <v>2.47350344565371</v>
      </c>
      <c r="M218" s="34"/>
      <c r="N218" s="13">
        <v>1.05</v>
      </c>
      <c r="O218" s="23" t="s">
        <v>25</v>
      </c>
      <c r="Q218" s="13">
        <v>0.015</v>
      </c>
      <c r="R218" s="13" t="s">
        <v>18</v>
      </c>
      <c r="T218" s="13">
        <v>6.5</v>
      </c>
    </row>
    <row r="219" spans="1:20" s="13" customFormat="1" ht="19.5">
      <c r="A219" s="14">
        <v>140</v>
      </c>
      <c r="B219" s="210" t="s">
        <v>201</v>
      </c>
      <c r="C219" s="47" t="s">
        <v>16</v>
      </c>
      <c r="D219" s="145">
        <f t="shared" si="13"/>
        <v>0.08</v>
      </c>
      <c r="E219" s="15">
        <f>D219+МРСК!F219</f>
        <v>1.714353694889818</v>
      </c>
      <c r="F219" s="46">
        <v>0.6514729199979921</v>
      </c>
      <c r="G219" s="16">
        <v>80</v>
      </c>
      <c r="H219" s="46">
        <f t="shared" si="14"/>
        <v>1.0628807748918259</v>
      </c>
      <c r="I219" s="15">
        <v>0</v>
      </c>
      <c r="J219" s="48">
        <f>МРСК!K219</f>
        <v>2.625</v>
      </c>
      <c r="K219" s="46">
        <f t="shared" si="12"/>
        <v>1.5621192251081741</v>
      </c>
      <c r="L219" s="46">
        <f t="shared" si="11"/>
        <v>1.5621192251081741</v>
      </c>
      <c r="M219" s="34"/>
      <c r="N219" s="13">
        <v>1.05</v>
      </c>
      <c r="O219" s="23" t="s">
        <v>27</v>
      </c>
      <c r="Q219" s="13">
        <v>0.08</v>
      </c>
      <c r="R219" s="13" t="s">
        <v>16</v>
      </c>
      <c r="T219" s="13">
        <v>6.5</v>
      </c>
    </row>
    <row r="220" spans="1:20" s="13" customFormat="1" ht="19.5">
      <c r="A220" s="14">
        <v>141</v>
      </c>
      <c r="B220" s="210" t="s">
        <v>202</v>
      </c>
      <c r="C220" s="47" t="s">
        <v>13</v>
      </c>
      <c r="D220" s="145">
        <f t="shared" si="13"/>
        <v>0.055</v>
      </c>
      <c r="E220" s="15">
        <f>D220+МРСК!F220</f>
        <v>1.4396472474966322</v>
      </c>
      <c r="F220" s="46">
        <v>0.451</v>
      </c>
      <c r="G220" s="16">
        <v>120</v>
      </c>
      <c r="H220" s="46">
        <f t="shared" si="14"/>
        <v>0.9886472474966321</v>
      </c>
      <c r="I220" s="15">
        <v>0</v>
      </c>
      <c r="J220" s="48">
        <f>МРСК!K220</f>
        <v>4.2</v>
      </c>
      <c r="K220" s="46">
        <f t="shared" si="12"/>
        <v>3.211352752503368</v>
      </c>
      <c r="L220" s="46">
        <f t="shared" si="11"/>
        <v>3.211352752503368</v>
      </c>
      <c r="M220" s="34"/>
      <c r="N220" s="13">
        <v>1.05</v>
      </c>
      <c r="O220" s="23" t="s">
        <v>24</v>
      </c>
      <c r="Q220" s="13">
        <v>0.055</v>
      </c>
      <c r="R220" s="13" t="s">
        <v>13</v>
      </c>
      <c r="T220" s="13">
        <v>8</v>
      </c>
    </row>
    <row r="221" spans="1:20" s="13" customFormat="1" ht="19.5">
      <c r="A221" s="14">
        <v>142</v>
      </c>
      <c r="B221" s="210" t="s">
        <v>203</v>
      </c>
      <c r="C221" s="47" t="s">
        <v>12</v>
      </c>
      <c r="D221" s="145">
        <f t="shared" si="13"/>
        <v>0.168</v>
      </c>
      <c r="E221" s="15">
        <f>D221+МРСК!F221</f>
        <v>2.1973052998501728</v>
      </c>
      <c r="F221" s="46">
        <v>1.435432922178513</v>
      </c>
      <c r="G221" s="16">
        <v>80</v>
      </c>
      <c r="H221" s="46">
        <f t="shared" si="14"/>
        <v>0.7618723776716598</v>
      </c>
      <c r="I221" s="15">
        <v>0</v>
      </c>
      <c r="J221" s="48">
        <f>МРСК!K221</f>
        <v>2.625</v>
      </c>
      <c r="K221" s="46">
        <f t="shared" si="12"/>
        <v>1.8631276223283402</v>
      </c>
      <c r="L221" s="46">
        <f t="shared" si="11"/>
        <v>1.8631276223283402</v>
      </c>
      <c r="M221" s="34"/>
      <c r="N221" s="13">
        <v>1.05</v>
      </c>
      <c r="O221" s="23" t="s">
        <v>25</v>
      </c>
      <c r="Q221" s="13">
        <f>0.168</f>
        <v>0.168</v>
      </c>
      <c r="R221" s="13" t="s">
        <v>12</v>
      </c>
      <c r="T221" s="13">
        <v>5</v>
      </c>
    </row>
    <row r="222" spans="1:20" s="13" customFormat="1" ht="19.5">
      <c r="A222" s="14">
        <v>143</v>
      </c>
      <c r="B222" s="210" t="s">
        <v>204</v>
      </c>
      <c r="C222" s="47" t="s">
        <v>13</v>
      </c>
      <c r="D222" s="145">
        <f t="shared" si="13"/>
        <v>0</v>
      </c>
      <c r="E222" s="15">
        <f>D222+МРСК!F222</f>
        <v>2.4165992634278446</v>
      </c>
      <c r="F222" s="46">
        <v>1.7332102024177531</v>
      </c>
      <c r="G222" s="16">
        <v>80</v>
      </c>
      <c r="H222" s="46">
        <f t="shared" si="14"/>
        <v>0.6833890610100914</v>
      </c>
      <c r="I222" s="15">
        <v>0</v>
      </c>
      <c r="J222" s="48">
        <f>МРСК!K222</f>
        <v>4.2</v>
      </c>
      <c r="K222" s="46">
        <f t="shared" si="12"/>
        <v>3.516610938989909</v>
      </c>
      <c r="L222" s="46">
        <f aca="true" t="shared" si="15" ref="L222:L255">K222</f>
        <v>3.516610938989909</v>
      </c>
      <c r="M222" s="34"/>
      <c r="N222" s="13">
        <v>1.05</v>
      </c>
      <c r="O222" s="23" t="s">
        <v>24</v>
      </c>
      <c r="Q222" s="13">
        <v>0</v>
      </c>
      <c r="R222" s="13" t="s">
        <v>13</v>
      </c>
      <c r="T222" s="13">
        <v>8</v>
      </c>
    </row>
    <row r="223" spans="1:20" s="13" customFormat="1" ht="19.5">
      <c r="A223" s="14">
        <v>144</v>
      </c>
      <c r="B223" s="210" t="s">
        <v>205</v>
      </c>
      <c r="C223" s="47" t="s">
        <v>15</v>
      </c>
      <c r="D223" s="145">
        <f t="shared" si="13"/>
        <v>0.494</v>
      </c>
      <c r="E223" s="15">
        <f>D223+МРСК!F223</f>
        <v>7.926701796789644</v>
      </c>
      <c r="F223" s="46">
        <v>0.872</v>
      </c>
      <c r="G223" s="16">
        <v>80</v>
      </c>
      <c r="H223" s="46">
        <f t="shared" si="14"/>
        <v>7.054701796789644</v>
      </c>
      <c r="I223" s="15">
        <v>0</v>
      </c>
      <c r="J223" s="48">
        <f>МРСК!K223</f>
        <v>6.615</v>
      </c>
      <c r="K223" s="46">
        <f t="shared" si="12"/>
        <v>-0.4397017967896435</v>
      </c>
      <c r="L223" s="46">
        <f t="shared" si="15"/>
        <v>-0.4397017967896435</v>
      </c>
      <c r="M223" s="34"/>
      <c r="N223" s="13">
        <v>1.05</v>
      </c>
      <c r="O223" s="23" t="s">
        <v>26</v>
      </c>
      <c r="Q223" s="13">
        <v>0.494</v>
      </c>
      <c r="R223" s="13" t="s">
        <v>15</v>
      </c>
      <c r="T223" s="13">
        <v>12.6</v>
      </c>
    </row>
    <row r="224" spans="1:20" s="13" customFormat="1" ht="19.5">
      <c r="A224" s="14">
        <v>145</v>
      </c>
      <c r="B224" s="210" t="s">
        <v>206</v>
      </c>
      <c r="C224" s="47" t="s">
        <v>13</v>
      </c>
      <c r="D224" s="145">
        <f t="shared" si="13"/>
        <v>0.012</v>
      </c>
      <c r="E224" s="15">
        <f>D224+МРСК!F224</f>
        <v>2.3157812396145605</v>
      </c>
      <c r="F224" s="46">
        <v>0.553</v>
      </c>
      <c r="G224" s="16">
        <v>80</v>
      </c>
      <c r="H224" s="46">
        <f t="shared" si="14"/>
        <v>1.7627812396145606</v>
      </c>
      <c r="I224" s="15">
        <v>0</v>
      </c>
      <c r="J224" s="48">
        <f>МРСК!K224</f>
        <v>4.2</v>
      </c>
      <c r="K224" s="46">
        <f t="shared" si="12"/>
        <v>2.4372187603854396</v>
      </c>
      <c r="L224" s="46">
        <f t="shared" si="15"/>
        <v>2.4372187603854396</v>
      </c>
      <c r="M224" s="34"/>
      <c r="N224" s="13">
        <v>1.05</v>
      </c>
      <c r="O224" s="23" t="s">
        <v>24</v>
      </c>
      <c r="Q224" s="13">
        <v>0.012</v>
      </c>
      <c r="R224" s="13" t="s">
        <v>13</v>
      </c>
      <c r="T224" s="13">
        <v>8</v>
      </c>
    </row>
    <row r="225" spans="1:20" s="13" customFormat="1" ht="19.5">
      <c r="A225" s="14">
        <v>146</v>
      </c>
      <c r="B225" s="210" t="s">
        <v>207</v>
      </c>
      <c r="C225" s="47" t="s">
        <v>12</v>
      </c>
      <c r="D225" s="145">
        <f t="shared" si="13"/>
        <v>0.42</v>
      </c>
      <c r="E225" s="15">
        <f>D225+МРСК!F225</f>
        <v>2.086037214470313</v>
      </c>
      <c r="F225" s="46">
        <v>1.1224919242012794</v>
      </c>
      <c r="G225" s="16">
        <v>45</v>
      </c>
      <c r="H225" s="46">
        <f t="shared" si="14"/>
        <v>0.9635452902690338</v>
      </c>
      <c r="I225" s="15">
        <v>0</v>
      </c>
      <c r="J225" s="48">
        <f>МРСК!K225</f>
        <v>2.625</v>
      </c>
      <c r="K225" s="46">
        <f t="shared" si="12"/>
        <v>1.6614547097309662</v>
      </c>
      <c r="L225" s="46">
        <f t="shared" si="15"/>
        <v>1.6614547097309662</v>
      </c>
      <c r="M225" s="34"/>
      <c r="N225" s="13">
        <v>1.05</v>
      </c>
      <c r="O225" s="23" t="s">
        <v>25</v>
      </c>
      <c r="Q225" s="13">
        <v>0.42</v>
      </c>
      <c r="R225" s="13" t="s">
        <v>12</v>
      </c>
      <c r="T225" s="13">
        <v>5</v>
      </c>
    </row>
    <row r="226" spans="1:20" s="13" customFormat="1" ht="19.5">
      <c r="A226" s="14">
        <v>147</v>
      </c>
      <c r="B226" s="210" t="s">
        <v>208</v>
      </c>
      <c r="C226" s="47" t="s">
        <v>20</v>
      </c>
      <c r="D226" s="145">
        <f t="shared" si="13"/>
        <v>1.03</v>
      </c>
      <c r="E226" s="15">
        <f>D226+МРСК!F226</f>
        <v>2.2972363631146324</v>
      </c>
      <c r="F226" s="46">
        <v>0.6463610983551401</v>
      </c>
      <c r="G226" s="16">
        <v>80</v>
      </c>
      <c r="H226" s="46">
        <f t="shared" si="14"/>
        <v>1.6508752647594922</v>
      </c>
      <c r="I226" s="15">
        <v>0</v>
      </c>
      <c r="J226" s="48">
        <f>МРСК!K226</f>
        <v>4.2</v>
      </c>
      <c r="K226" s="46">
        <f aca="true" t="shared" si="16" ref="K226:K255">J226-I226-H226</f>
        <v>2.549124735240508</v>
      </c>
      <c r="L226" s="46">
        <f t="shared" si="15"/>
        <v>2.549124735240508</v>
      </c>
      <c r="M226" s="34"/>
      <c r="N226" s="13">
        <v>1.05</v>
      </c>
      <c r="O226" s="23" t="s">
        <v>24</v>
      </c>
      <c r="Q226" s="13">
        <v>1.03</v>
      </c>
      <c r="R226" s="13" t="s">
        <v>20</v>
      </c>
      <c r="T226" s="13">
        <v>10.4</v>
      </c>
    </row>
    <row r="227" spans="1:20" s="13" customFormat="1" ht="19.5">
      <c r="A227" s="14">
        <v>148</v>
      </c>
      <c r="B227" s="210" t="s">
        <v>209</v>
      </c>
      <c r="C227" s="47" t="s">
        <v>13</v>
      </c>
      <c r="D227" s="145">
        <f t="shared" si="13"/>
        <v>0.08499999999999999</v>
      </c>
      <c r="E227" s="15">
        <f>D227+МРСК!F227</f>
        <v>2.483379452880632</v>
      </c>
      <c r="F227" s="46">
        <v>0</v>
      </c>
      <c r="G227" s="16"/>
      <c r="H227" s="46">
        <f t="shared" si="14"/>
        <v>2.483379452880632</v>
      </c>
      <c r="I227" s="15">
        <v>0</v>
      </c>
      <c r="J227" s="48">
        <f>МРСК!K227</f>
        <v>4.2</v>
      </c>
      <c r="K227" s="46">
        <f t="shared" si="16"/>
        <v>1.7166205471193683</v>
      </c>
      <c r="L227" s="46">
        <f t="shared" si="15"/>
        <v>1.7166205471193683</v>
      </c>
      <c r="M227" s="34"/>
      <c r="N227" s="13">
        <v>1.05</v>
      </c>
      <c r="O227" s="23" t="s">
        <v>26</v>
      </c>
      <c r="Q227" s="13">
        <v>0.08499999999999999</v>
      </c>
      <c r="R227" s="13" t="s">
        <v>13</v>
      </c>
      <c r="T227" s="13">
        <v>8</v>
      </c>
    </row>
    <row r="228" spans="1:20" s="13" customFormat="1" ht="19.5">
      <c r="A228" s="14">
        <v>149</v>
      </c>
      <c r="B228" s="210" t="s">
        <v>210</v>
      </c>
      <c r="C228" s="47" t="s">
        <v>15</v>
      </c>
      <c r="D228" s="145">
        <f t="shared" si="13"/>
        <v>0.04</v>
      </c>
      <c r="E228" s="15">
        <f>D228+МРСК!F228</f>
        <v>5.816075570835271</v>
      </c>
      <c r="F228" s="46">
        <v>0</v>
      </c>
      <c r="G228" s="16"/>
      <c r="H228" s="46">
        <f t="shared" si="14"/>
        <v>5.816075570835271</v>
      </c>
      <c r="I228" s="15">
        <v>0</v>
      </c>
      <c r="J228" s="48">
        <f>МРСК!K228</f>
        <v>6.615</v>
      </c>
      <c r="K228" s="46">
        <f t="shared" si="16"/>
        <v>0.798924429164729</v>
      </c>
      <c r="L228" s="46">
        <f t="shared" si="15"/>
        <v>0.798924429164729</v>
      </c>
      <c r="M228" s="34"/>
      <c r="N228" s="13">
        <v>1.05</v>
      </c>
      <c r="O228" s="47">
        <v>6.3</v>
      </c>
      <c r="Q228" s="13">
        <v>0.04</v>
      </c>
      <c r="R228" s="13" t="s">
        <v>15</v>
      </c>
      <c r="T228" s="13">
        <v>12.6</v>
      </c>
    </row>
    <row r="229" spans="1:20" s="13" customFormat="1" ht="19.5">
      <c r="A229" s="14">
        <v>150</v>
      </c>
      <c r="B229" s="210" t="s">
        <v>211</v>
      </c>
      <c r="C229" s="47" t="s">
        <v>12</v>
      </c>
      <c r="D229" s="145">
        <f t="shared" si="13"/>
        <v>0</v>
      </c>
      <c r="E229" s="15">
        <f>D229+МРСК!F229</f>
        <v>0.652331204220678</v>
      </c>
      <c r="F229" s="46">
        <v>0.3763754343811262</v>
      </c>
      <c r="G229" s="16">
        <v>80</v>
      </c>
      <c r="H229" s="46">
        <f t="shared" si="14"/>
        <v>0.27595576983955183</v>
      </c>
      <c r="I229" s="15">
        <v>0</v>
      </c>
      <c r="J229" s="48">
        <f>МРСК!K229</f>
        <v>2.625</v>
      </c>
      <c r="K229" s="46">
        <f t="shared" si="16"/>
        <v>2.349044230160448</v>
      </c>
      <c r="L229" s="46">
        <f t="shared" si="15"/>
        <v>2.349044230160448</v>
      </c>
      <c r="M229" s="34"/>
      <c r="N229" s="13">
        <v>1.05</v>
      </c>
      <c r="O229" s="47">
        <v>2.5</v>
      </c>
      <c r="Q229" s="13">
        <v>0</v>
      </c>
      <c r="R229" s="13" t="s">
        <v>12</v>
      </c>
      <c r="T229" s="13">
        <v>5</v>
      </c>
    </row>
    <row r="230" spans="1:20" s="13" customFormat="1" ht="19.5">
      <c r="A230" s="14">
        <v>151</v>
      </c>
      <c r="B230" s="210" t="s">
        <v>212</v>
      </c>
      <c r="C230" s="47" t="s">
        <v>12</v>
      </c>
      <c r="D230" s="145">
        <f t="shared" si="13"/>
        <v>0.02</v>
      </c>
      <c r="E230" s="15">
        <f>D230+МРСК!F230</f>
        <v>1.5806985615422346</v>
      </c>
      <c r="F230" s="46">
        <v>0.352</v>
      </c>
      <c r="G230" s="16">
        <v>120</v>
      </c>
      <c r="H230" s="46">
        <f t="shared" si="14"/>
        <v>1.2286985615422346</v>
      </c>
      <c r="I230" s="15">
        <v>0</v>
      </c>
      <c r="J230" s="48">
        <f>МРСК!K230</f>
        <v>2.625</v>
      </c>
      <c r="K230" s="46">
        <f t="shared" si="16"/>
        <v>1.3963014384577654</v>
      </c>
      <c r="L230" s="46">
        <f t="shared" si="15"/>
        <v>1.3963014384577654</v>
      </c>
      <c r="M230" s="34"/>
      <c r="N230" s="13">
        <v>1.05</v>
      </c>
      <c r="O230" s="47">
        <v>2.5</v>
      </c>
      <c r="Q230" s="13">
        <f>0.02</f>
        <v>0.02</v>
      </c>
      <c r="R230" s="13" t="s">
        <v>12</v>
      </c>
      <c r="T230" s="13">
        <v>5</v>
      </c>
    </row>
    <row r="231" spans="1:20" s="13" customFormat="1" ht="19.5">
      <c r="A231" s="14">
        <v>152</v>
      </c>
      <c r="B231" s="210" t="s">
        <v>213</v>
      </c>
      <c r="C231" s="47" t="s">
        <v>15</v>
      </c>
      <c r="D231" s="145">
        <f t="shared" si="13"/>
        <v>0.09</v>
      </c>
      <c r="E231" s="15">
        <f>D231+МРСК!F231</f>
        <v>2.895252216824719</v>
      </c>
      <c r="F231" s="46">
        <v>0.164</v>
      </c>
      <c r="G231" s="16">
        <v>45</v>
      </c>
      <c r="H231" s="46">
        <f t="shared" si="14"/>
        <v>2.7312522168247186</v>
      </c>
      <c r="I231" s="15">
        <v>0</v>
      </c>
      <c r="J231" s="48">
        <f>МРСК!K231</f>
        <v>6.615</v>
      </c>
      <c r="K231" s="46">
        <f t="shared" si="16"/>
        <v>3.8837477831752816</v>
      </c>
      <c r="L231" s="46">
        <f t="shared" si="15"/>
        <v>3.8837477831752816</v>
      </c>
      <c r="M231" s="34"/>
      <c r="N231" s="13">
        <v>1.05</v>
      </c>
      <c r="O231" s="47">
        <v>4</v>
      </c>
      <c r="Q231" s="13">
        <v>0.09</v>
      </c>
      <c r="R231" s="13" t="s">
        <v>15</v>
      </c>
      <c r="T231" s="13">
        <v>12.6</v>
      </c>
    </row>
    <row r="232" spans="1:20" s="13" customFormat="1" ht="19.5">
      <c r="A232" s="14">
        <v>153</v>
      </c>
      <c r="B232" s="210" t="s">
        <v>214</v>
      </c>
      <c r="C232" s="47" t="s">
        <v>12</v>
      </c>
      <c r="D232" s="145">
        <f t="shared" si="13"/>
        <v>0</v>
      </c>
      <c r="E232" s="15">
        <f>D232+МРСК!F232</f>
        <v>1.4347027566712207</v>
      </c>
      <c r="F232" s="46">
        <v>0.662</v>
      </c>
      <c r="G232" s="16">
        <v>80</v>
      </c>
      <c r="H232" s="46">
        <f t="shared" si="14"/>
        <v>0.7727027566712207</v>
      </c>
      <c r="I232" s="15">
        <v>0</v>
      </c>
      <c r="J232" s="48">
        <f>МРСК!K232</f>
        <v>2.625</v>
      </c>
      <c r="K232" s="46">
        <f t="shared" si="16"/>
        <v>1.8522972433287794</v>
      </c>
      <c r="L232" s="46">
        <f t="shared" si="15"/>
        <v>1.8522972433287794</v>
      </c>
      <c r="M232" s="34"/>
      <c r="N232" s="13">
        <v>1.05</v>
      </c>
      <c r="O232" s="47">
        <v>2.5</v>
      </c>
      <c r="Q232" s="13">
        <v>0</v>
      </c>
      <c r="R232" s="13" t="s">
        <v>12</v>
      </c>
      <c r="T232" s="13">
        <v>5</v>
      </c>
    </row>
    <row r="233" spans="1:20" s="13" customFormat="1" ht="19.5">
      <c r="A233" s="14">
        <v>154</v>
      </c>
      <c r="B233" s="210" t="s">
        <v>215</v>
      </c>
      <c r="C233" s="47" t="s">
        <v>12</v>
      </c>
      <c r="D233" s="145">
        <f t="shared" si="13"/>
        <v>0</v>
      </c>
      <c r="E233" s="15">
        <f>D233+МРСК!F233</f>
        <v>1.6385945197027847</v>
      </c>
      <c r="F233" s="46">
        <v>0.8849109793349925</v>
      </c>
      <c r="G233" s="16">
        <v>80</v>
      </c>
      <c r="H233" s="46">
        <f t="shared" si="14"/>
        <v>0.7536835403677922</v>
      </c>
      <c r="I233" s="15">
        <v>0</v>
      </c>
      <c r="J233" s="48">
        <f>МРСК!K233</f>
        <v>2.625</v>
      </c>
      <c r="K233" s="46">
        <f t="shared" si="16"/>
        <v>1.8713164596322078</v>
      </c>
      <c r="L233" s="46">
        <f t="shared" si="15"/>
        <v>1.8713164596322078</v>
      </c>
      <c r="M233" s="34"/>
      <c r="N233" s="13">
        <v>1.05</v>
      </c>
      <c r="O233" s="47">
        <v>2.5</v>
      </c>
      <c r="Q233" s="13">
        <v>0</v>
      </c>
      <c r="R233" s="13" t="s">
        <v>12</v>
      </c>
      <c r="T233" s="13">
        <v>5</v>
      </c>
    </row>
    <row r="234" spans="1:20" s="13" customFormat="1" ht="19.5">
      <c r="A234" s="14">
        <v>155</v>
      </c>
      <c r="B234" s="210" t="s">
        <v>216</v>
      </c>
      <c r="C234" s="47" t="s">
        <v>7</v>
      </c>
      <c r="D234" s="145">
        <f t="shared" si="13"/>
        <v>0.135</v>
      </c>
      <c r="E234" s="15">
        <f>D234+МРСК!F234</f>
        <v>7.54163486341807</v>
      </c>
      <c r="F234" s="46">
        <v>2.53</v>
      </c>
      <c r="G234" s="16">
        <v>45</v>
      </c>
      <c r="H234" s="46">
        <f t="shared" si="14"/>
        <v>5.01163486341807</v>
      </c>
      <c r="I234" s="15">
        <v>0</v>
      </c>
      <c r="J234" s="48">
        <f>МРСК!K234</f>
        <v>10.5</v>
      </c>
      <c r="K234" s="46">
        <f t="shared" si="16"/>
        <v>5.48836513658193</v>
      </c>
      <c r="L234" s="46">
        <f t="shared" si="15"/>
        <v>5.48836513658193</v>
      </c>
      <c r="M234" s="34"/>
      <c r="N234" s="13">
        <v>1.05</v>
      </c>
      <c r="O234" s="47">
        <v>6.3</v>
      </c>
      <c r="Q234" s="13">
        <f>0.015+0.12</f>
        <v>0.135</v>
      </c>
      <c r="R234" s="13" t="s">
        <v>7</v>
      </c>
      <c r="T234" s="13">
        <v>20</v>
      </c>
    </row>
    <row r="235" spans="1:20" s="13" customFormat="1" ht="19.5">
      <c r="A235" s="14">
        <v>156</v>
      </c>
      <c r="B235" s="210" t="s">
        <v>217</v>
      </c>
      <c r="C235" s="47" t="s">
        <v>13</v>
      </c>
      <c r="D235" s="145">
        <f t="shared" si="13"/>
        <v>0</v>
      </c>
      <c r="E235" s="15">
        <f>D235+МРСК!F235</f>
        <v>3.4807447478951974</v>
      </c>
      <c r="F235" s="46">
        <v>1.7392964094713703</v>
      </c>
      <c r="G235" s="16">
        <v>120</v>
      </c>
      <c r="H235" s="46">
        <f t="shared" si="14"/>
        <v>1.741448338423827</v>
      </c>
      <c r="I235" s="15">
        <v>0</v>
      </c>
      <c r="J235" s="48">
        <f>МРСК!K235</f>
        <v>4.2</v>
      </c>
      <c r="K235" s="46">
        <f t="shared" si="16"/>
        <v>2.4585516615761733</v>
      </c>
      <c r="L235" s="46">
        <f t="shared" si="15"/>
        <v>2.4585516615761733</v>
      </c>
      <c r="M235" s="34"/>
      <c r="N235" s="13">
        <v>1.05</v>
      </c>
      <c r="O235" s="47">
        <v>4</v>
      </c>
      <c r="Q235" s="13">
        <v>0</v>
      </c>
      <c r="R235" s="13" t="s">
        <v>13</v>
      </c>
      <c r="T235" s="13">
        <v>8</v>
      </c>
    </row>
    <row r="236" spans="1:20" s="13" customFormat="1" ht="19.5">
      <c r="A236" s="14">
        <v>157</v>
      </c>
      <c r="B236" s="210" t="s">
        <v>218</v>
      </c>
      <c r="C236" s="47" t="s">
        <v>12</v>
      </c>
      <c r="D236" s="145">
        <f t="shared" si="13"/>
        <v>1.433</v>
      </c>
      <c r="E236" s="15">
        <f>D236+МРСК!F236</f>
        <v>3.12937731651894</v>
      </c>
      <c r="F236" s="46">
        <v>0</v>
      </c>
      <c r="G236" s="16"/>
      <c r="H236" s="46">
        <f t="shared" si="14"/>
        <v>3.12937731651894</v>
      </c>
      <c r="I236" s="15">
        <v>0</v>
      </c>
      <c r="J236" s="48">
        <f>МРСК!K236</f>
        <v>2.625</v>
      </c>
      <c r="K236" s="46">
        <f t="shared" si="16"/>
        <v>-0.5043773165189398</v>
      </c>
      <c r="L236" s="46">
        <f t="shared" si="15"/>
        <v>-0.5043773165189398</v>
      </c>
      <c r="M236" s="34"/>
      <c r="N236" s="13">
        <v>1.05</v>
      </c>
      <c r="O236" s="47">
        <v>2.5</v>
      </c>
      <c r="Q236" s="13">
        <v>1.433</v>
      </c>
      <c r="R236" s="13" t="s">
        <v>12</v>
      </c>
      <c r="T236" s="13">
        <v>5</v>
      </c>
    </row>
    <row r="237" spans="1:20" s="13" customFormat="1" ht="19.5">
      <c r="A237" s="14">
        <v>158</v>
      </c>
      <c r="B237" s="210" t="s">
        <v>219</v>
      </c>
      <c r="C237" s="47" t="s">
        <v>12</v>
      </c>
      <c r="D237" s="145">
        <f t="shared" si="13"/>
        <v>0.015</v>
      </c>
      <c r="E237" s="15">
        <f>D237+МРСК!F237</f>
        <v>0.44432505167995967</v>
      </c>
      <c r="F237" s="46">
        <v>0.2275127113166862</v>
      </c>
      <c r="G237" s="16">
        <v>120</v>
      </c>
      <c r="H237" s="46">
        <f t="shared" si="14"/>
        <v>0.21681234036327346</v>
      </c>
      <c r="I237" s="15">
        <v>0</v>
      </c>
      <c r="J237" s="48">
        <f>МРСК!K237</f>
        <v>2.625</v>
      </c>
      <c r="K237" s="46">
        <f t="shared" si="16"/>
        <v>2.4081876596367264</v>
      </c>
      <c r="L237" s="46">
        <f t="shared" si="15"/>
        <v>2.4081876596367264</v>
      </c>
      <c r="M237" s="34"/>
      <c r="N237" s="13">
        <v>1.05</v>
      </c>
      <c r="O237" s="47">
        <v>2.5</v>
      </c>
      <c r="Q237" s="13">
        <v>0.015</v>
      </c>
      <c r="R237" s="13" t="s">
        <v>12</v>
      </c>
      <c r="T237" s="13">
        <v>5</v>
      </c>
    </row>
    <row r="238" spans="1:20" s="13" customFormat="1" ht="19.5">
      <c r="A238" s="14">
        <v>159</v>
      </c>
      <c r="B238" s="210" t="s">
        <v>220</v>
      </c>
      <c r="C238" s="47" t="s">
        <v>15</v>
      </c>
      <c r="D238" s="145">
        <f t="shared" si="13"/>
        <v>0.0338</v>
      </c>
      <c r="E238" s="15">
        <f>D238+МРСК!F238</f>
        <v>6.575853576668416</v>
      </c>
      <c r="F238" s="46">
        <v>4.804906036985494</v>
      </c>
      <c r="G238" s="16">
        <v>120</v>
      </c>
      <c r="H238" s="46">
        <f t="shared" si="14"/>
        <v>1.770947539682922</v>
      </c>
      <c r="I238" s="15">
        <v>0</v>
      </c>
      <c r="J238" s="48">
        <f>МРСК!K238</f>
        <v>6.615</v>
      </c>
      <c r="K238" s="46">
        <f t="shared" si="16"/>
        <v>4.844052460317078</v>
      </c>
      <c r="L238" s="46">
        <f t="shared" si="15"/>
        <v>4.844052460317078</v>
      </c>
      <c r="M238" s="34"/>
      <c r="N238" s="13">
        <v>1.05</v>
      </c>
      <c r="O238" s="47">
        <v>6.3</v>
      </c>
      <c r="Q238" s="13">
        <f>0.02+0.0138</f>
        <v>0.0338</v>
      </c>
      <c r="R238" s="13" t="s">
        <v>15</v>
      </c>
      <c r="T238" s="13">
        <v>12.6</v>
      </c>
    </row>
    <row r="239" spans="1:20" s="13" customFormat="1" ht="19.5">
      <c r="A239" s="14">
        <v>160</v>
      </c>
      <c r="B239" s="210" t="s">
        <v>221</v>
      </c>
      <c r="C239" s="47" t="s">
        <v>12</v>
      </c>
      <c r="D239" s="145">
        <f t="shared" si="13"/>
        <v>0.035</v>
      </c>
      <c r="E239" s="15">
        <f>D239+МРСК!F239</f>
        <v>2.053614376249213</v>
      </c>
      <c r="F239" s="46">
        <v>1.062118637441223</v>
      </c>
      <c r="G239" s="16">
        <v>80</v>
      </c>
      <c r="H239" s="46">
        <f t="shared" si="14"/>
        <v>0.9914957388079901</v>
      </c>
      <c r="I239" s="15">
        <v>0</v>
      </c>
      <c r="J239" s="48">
        <f>МРСК!K239</f>
        <v>2.625</v>
      </c>
      <c r="K239" s="46">
        <f t="shared" si="16"/>
        <v>1.6335042611920099</v>
      </c>
      <c r="L239" s="46">
        <f t="shared" si="15"/>
        <v>1.6335042611920099</v>
      </c>
      <c r="M239" s="34"/>
      <c r="N239" s="13">
        <v>1.05</v>
      </c>
      <c r="O239" s="47">
        <v>2.5</v>
      </c>
      <c r="Q239" s="13">
        <v>0.035</v>
      </c>
      <c r="R239" s="13" t="s">
        <v>12</v>
      </c>
      <c r="T239" s="13">
        <v>5</v>
      </c>
    </row>
    <row r="240" spans="1:20" s="13" customFormat="1" ht="19.5">
      <c r="A240" s="14">
        <v>161</v>
      </c>
      <c r="B240" s="210" t="s">
        <v>222</v>
      </c>
      <c r="C240" s="47" t="s">
        <v>13</v>
      </c>
      <c r="D240" s="145">
        <f t="shared" si="13"/>
        <v>0.85</v>
      </c>
      <c r="E240" s="15">
        <f>D240+МРСК!F240</f>
        <v>3.4737073007483135</v>
      </c>
      <c r="F240" s="46">
        <v>1.1305772892533212</v>
      </c>
      <c r="G240" s="16">
        <v>120</v>
      </c>
      <c r="H240" s="46">
        <f t="shared" si="14"/>
        <v>2.343130011494992</v>
      </c>
      <c r="I240" s="15">
        <v>0</v>
      </c>
      <c r="J240" s="48">
        <f>МРСК!K240</f>
        <v>4.2</v>
      </c>
      <c r="K240" s="46">
        <f t="shared" si="16"/>
        <v>1.8568699885050082</v>
      </c>
      <c r="L240" s="46">
        <f t="shared" si="15"/>
        <v>1.8568699885050082</v>
      </c>
      <c r="M240" s="34"/>
      <c r="N240" s="13">
        <v>1.05</v>
      </c>
      <c r="O240" s="47">
        <v>4</v>
      </c>
      <c r="Q240" s="13">
        <f>0.85</f>
        <v>0.85</v>
      </c>
      <c r="R240" s="13" t="s">
        <v>13</v>
      </c>
      <c r="T240" s="13">
        <v>8</v>
      </c>
    </row>
    <row r="241" spans="1:20" s="13" customFormat="1" ht="19.5">
      <c r="A241" s="14">
        <v>162</v>
      </c>
      <c r="B241" s="210" t="s">
        <v>223</v>
      </c>
      <c r="C241" s="47" t="s">
        <v>4</v>
      </c>
      <c r="D241" s="145">
        <f t="shared" si="13"/>
        <v>0.20900000000000002</v>
      </c>
      <c r="E241" s="15">
        <f>D241+МРСК!F241</f>
        <v>12.870086525255248</v>
      </c>
      <c r="F241" s="46">
        <v>1.21</v>
      </c>
      <c r="G241" s="16">
        <v>80</v>
      </c>
      <c r="H241" s="46">
        <f t="shared" si="14"/>
        <v>11.660086525255249</v>
      </c>
      <c r="I241" s="15">
        <v>0</v>
      </c>
      <c r="J241" s="48">
        <f>МРСК!K241</f>
        <v>16.8</v>
      </c>
      <c r="K241" s="46">
        <f t="shared" si="16"/>
        <v>5.139913474744752</v>
      </c>
      <c r="L241" s="46">
        <f t="shared" si="15"/>
        <v>5.139913474744752</v>
      </c>
      <c r="M241" s="34"/>
      <c r="N241" s="13">
        <v>1.05</v>
      </c>
      <c r="O241" s="47">
        <v>16</v>
      </c>
      <c r="Q241" s="13">
        <f>0.014+0.122+0.073</f>
        <v>0.20900000000000002</v>
      </c>
      <c r="R241" s="13" t="s">
        <v>4</v>
      </c>
      <c r="T241" s="13">
        <v>32</v>
      </c>
    </row>
    <row r="242" spans="1:20" s="13" customFormat="1" ht="19.5">
      <c r="A242" s="14">
        <v>163</v>
      </c>
      <c r="B242" s="210" t="s">
        <v>224</v>
      </c>
      <c r="C242" s="47" t="s">
        <v>13</v>
      </c>
      <c r="D242" s="145">
        <f t="shared" si="13"/>
        <v>0</v>
      </c>
      <c r="E242" s="15">
        <f>D242+МРСК!F242</f>
        <v>1.6058941434602718</v>
      </c>
      <c r="F242" s="46">
        <v>1.3453007325017299</v>
      </c>
      <c r="G242" s="16">
        <v>45</v>
      </c>
      <c r="H242" s="46">
        <f t="shared" si="14"/>
        <v>0.26059341095854194</v>
      </c>
      <c r="I242" s="15">
        <v>0</v>
      </c>
      <c r="J242" s="48">
        <f>МРСК!K242</f>
        <v>4.2</v>
      </c>
      <c r="K242" s="46">
        <f t="shared" si="16"/>
        <v>3.9394065890414582</v>
      </c>
      <c r="L242" s="46">
        <f t="shared" si="15"/>
        <v>3.9394065890414582</v>
      </c>
      <c r="M242" s="34"/>
      <c r="N242" s="13">
        <v>1.05</v>
      </c>
      <c r="O242" s="47">
        <v>2.5</v>
      </c>
      <c r="Q242" s="13">
        <v>0</v>
      </c>
      <c r="R242" s="13" t="s">
        <v>13</v>
      </c>
      <c r="T242" s="13">
        <v>8</v>
      </c>
    </row>
    <row r="243" spans="1:20" s="13" customFormat="1" ht="19.5">
      <c r="A243" s="14">
        <v>164</v>
      </c>
      <c r="B243" s="210" t="s">
        <v>225</v>
      </c>
      <c r="C243" s="47" t="s">
        <v>7</v>
      </c>
      <c r="D243" s="145">
        <f t="shared" si="13"/>
        <v>1.157</v>
      </c>
      <c r="E243" s="15">
        <f>D243+МРСК!F243</f>
        <v>9.846193288217268</v>
      </c>
      <c r="F243" s="46">
        <v>0.531</v>
      </c>
      <c r="G243" s="16">
        <v>45</v>
      </c>
      <c r="H243" s="46">
        <f t="shared" si="14"/>
        <v>9.315193288217268</v>
      </c>
      <c r="I243" s="15">
        <v>0</v>
      </c>
      <c r="J243" s="48">
        <f>МРСК!K243</f>
        <v>10.5</v>
      </c>
      <c r="K243" s="46">
        <f t="shared" si="16"/>
        <v>1.1848067117827323</v>
      </c>
      <c r="L243" s="46">
        <f t="shared" si="15"/>
        <v>1.1848067117827323</v>
      </c>
      <c r="M243" s="34"/>
      <c r="N243" s="13">
        <v>1.05</v>
      </c>
      <c r="O243" s="47">
        <v>10</v>
      </c>
      <c r="Q243" s="13">
        <f>0.325+0.642+0.19</f>
        <v>1.157</v>
      </c>
      <c r="R243" s="13" t="s">
        <v>7</v>
      </c>
      <c r="T243" s="13">
        <v>20</v>
      </c>
    </row>
    <row r="244" spans="1:20" s="13" customFormat="1" ht="19.5">
      <c r="A244" s="14">
        <v>165</v>
      </c>
      <c r="B244" s="210" t="s">
        <v>226</v>
      </c>
      <c r="C244" s="47" t="s">
        <v>12</v>
      </c>
      <c r="D244" s="145">
        <f t="shared" si="13"/>
        <v>0</v>
      </c>
      <c r="E244" s="15">
        <f>D244+МРСК!F244</f>
        <v>1.2845045737559677</v>
      </c>
      <c r="F244" s="46">
        <v>0.4497830700715363</v>
      </c>
      <c r="G244" s="16">
        <v>80</v>
      </c>
      <c r="H244" s="46">
        <f t="shared" si="14"/>
        <v>0.8347215036844314</v>
      </c>
      <c r="I244" s="15">
        <v>0</v>
      </c>
      <c r="J244" s="48">
        <f>МРСК!K244</f>
        <v>2.625</v>
      </c>
      <c r="K244" s="46">
        <f t="shared" si="16"/>
        <v>1.7902784963155685</v>
      </c>
      <c r="L244" s="46">
        <f t="shared" si="15"/>
        <v>1.7902784963155685</v>
      </c>
      <c r="M244" s="34"/>
      <c r="N244" s="13">
        <v>1.05</v>
      </c>
      <c r="O244" s="47">
        <v>2.5</v>
      </c>
      <c r="Q244" s="13">
        <v>0</v>
      </c>
      <c r="R244" s="13" t="s">
        <v>12</v>
      </c>
      <c r="T244" s="13">
        <v>5</v>
      </c>
    </row>
    <row r="245" spans="1:20" s="13" customFormat="1" ht="19.5">
      <c r="A245" s="14">
        <v>166</v>
      </c>
      <c r="B245" s="210" t="s">
        <v>227</v>
      </c>
      <c r="C245" s="47" t="s">
        <v>15</v>
      </c>
      <c r="D245" s="145">
        <f t="shared" si="13"/>
        <v>0.13</v>
      </c>
      <c r="E245" s="15">
        <f>D245+МРСК!F245</f>
        <v>5.143257623541802</v>
      </c>
      <c r="F245" s="46">
        <v>1.39</v>
      </c>
      <c r="G245" s="16">
        <v>120</v>
      </c>
      <c r="H245" s="46">
        <f t="shared" si="14"/>
        <v>3.7532576235418027</v>
      </c>
      <c r="I245" s="15">
        <v>0</v>
      </c>
      <c r="J245" s="48">
        <f>МРСК!K245</f>
        <v>6.615</v>
      </c>
      <c r="K245" s="46">
        <f t="shared" si="16"/>
        <v>2.8617423764581975</v>
      </c>
      <c r="L245" s="46">
        <f t="shared" si="15"/>
        <v>2.8617423764581975</v>
      </c>
      <c r="M245" s="34"/>
      <c r="N245" s="13">
        <v>1.05</v>
      </c>
      <c r="O245" s="47">
        <v>6.3</v>
      </c>
      <c r="Q245" s="13">
        <f>0.01+0.12</f>
        <v>0.13</v>
      </c>
      <c r="R245" s="13" t="s">
        <v>15</v>
      </c>
      <c r="T245" s="13">
        <v>12.6</v>
      </c>
    </row>
    <row r="246" spans="1:20" s="13" customFormat="1" ht="19.5">
      <c r="A246" s="14">
        <v>167</v>
      </c>
      <c r="B246" s="210" t="s">
        <v>228</v>
      </c>
      <c r="C246" s="47" t="s">
        <v>21</v>
      </c>
      <c r="D246" s="145">
        <f t="shared" si="13"/>
        <v>0</v>
      </c>
      <c r="E246" s="15">
        <f>D246+МРСК!F246</f>
        <v>0.7342397428633239</v>
      </c>
      <c r="F246" s="46">
        <v>0.4724167338631652</v>
      </c>
      <c r="G246" s="16">
        <v>80</v>
      </c>
      <c r="H246" s="46">
        <f t="shared" si="14"/>
        <v>0.26182300900015876</v>
      </c>
      <c r="I246" s="15">
        <v>0</v>
      </c>
      <c r="J246" s="48">
        <f>МРСК!K246</f>
        <v>1.6800000000000002</v>
      </c>
      <c r="K246" s="46">
        <f t="shared" si="16"/>
        <v>1.4181769909998414</v>
      </c>
      <c r="L246" s="46">
        <f t="shared" si="15"/>
        <v>1.4181769909998414</v>
      </c>
      <c r="M246" s="34"/>
      <c r="N246" s="13">
        <v>1.05</v>
      </c>
      <c r="O246" s="47">
        <v>1.6</v>
      </c>
      <c r="Q246" s="13">
        <v>0</v>
      </c>
      <c r="R246" s="13" t="s">
        <v>21</v>
      </c>
      <c r="T246" s="13">
        <v>4.1</v>
      </c>
    </row>
    <row r="247" spans="1:20" s="13" customFormat="1" ht="19.5">
      <c r="A247" s="14">
        <v>168</v>
      </c>
      <c r="B247" s="210" t="s">
        <v>229</v>
      </c>
      <c r="C247" s="47" t="s">
        <v>13</v>
      </c>
      <c r="D247" s="145">
        <f t="shared" si="13"/>
        <v>0.06999999999999999</v>
      </c>
      <c r="E247" s="15">
        <f>D247+МРСК!F247</f>
        <v>2.3351101518469246</v>
      </c>
      <c r="F247" s="46">
        <v>0</v>
      </c>
      <c r="G247" s="16"/>
      <c r="H247" s="46">
        <f t="shared" si="14"/>
        <v>2.3351101518469246</v>
      </c>
      <c r="I247" s="15">
        <v>0</v>
      </c>
      <c r="J247" s="48">
        <f>МРСК!K247</f>
        <v>4.2</v>
      </c>
      <c r="K247" s="46">
        <f t="shared" si="16"/>
        <v>1.8648898481530756</v>
      </c>
      <c r="L247" s="46">
        <f t="shared" si="15"/>
        <v>1.8648898481530756</v>
      </c>
      <c r="M247" s="34"/>
      <c r="N247" s="13">
        <v>1.05</v>
      </c>
      <c r="O247" s="47">
        <v>4</v>
      </c>
      <c r="Q247" s="13">
        <f>0.01+0.06</f>
        <v>0.06999999999999999</v>
      </c>
      <c r="R247" s="13" t="s">
        <v>13</v>
      </c>
      <c r="T247" s="13">
        <v>8</v>
      </c>
    </row>
    <row r="248" spans="1:20" s="13" customFormat="1" ht="19.5">
      <c r="A248" s="14">
        <v>169</v>
      </c>
      <c r="B248" s="210" t="s">
        <v>230</v>
      </c>
      <c r="C248" s="47" t="s">
        <v>21</v>
      </c>
      <c r="D248" s="145">
        <v>0.01</v>
      </c>
      <c r="E248" s="15">
        <f>D248+МРСК!F248</f>
        <v>1.0715385061315488</v>
      </c>
      <c r="F248" s="46">
        <v>0.7868064298244878</v>
      </c>
      <c r="G248" s="16">
        <v>45</v>
      </c>
      <c r="H248" s="46">
        <f t="shared" si="14"/>
        <v>0.284732076307061</v>
      </c>
      <c r="I248" s="15">
        <v>0</v>
      </c>
      <c r="J248" s="48">
        <f>МРСК!K248</f>
        <v>1.6800000000000002</v>
      </c>
      <c r="K248" s="46">
        <f t="shared" si="16"/>
        <v>1.395267923692939</v>
      </c>
      <c r="L248" s="46">
        <f t="shared" si="15"/>
        <v>1.395267923692939</v>
      </c>
      <c r="M248" s="34"/>
      <c r="N248" s="13">
        <v>1.05</v>
      </c>
      <c r="O248" s="47">
        <v>1.6</v>
      </c>
      <c r="Q248" s="13">
        <f>0.014+0.01+0.015</f>
        <v>0.039</v>
      </c>
      <c r="R248" s="13" t="s">
        <v>21</v>
      </c>
      <c r="T248" s="13">
        <v>4.1</v>
      </c>
    </row>
    <row r="249" spans="1:20" s="13" customFormat="1" ht="19.5">
      <c r="A249" s="14">
        <v>170</v>
      </c>
      <c r="B249" s="210" t="s">
        <v>231</v>
      </c>
      <c r="C249" s="47" t="s">
        <v>13</v>
      </c>
      <c r="D249" s="145">
        <f t="shared" si="13"/>
        <v>0.025</v>
      </c>
      <c r="E249" s="15">
        <f>D249+МРСК!F249</f>
        <v>1.8092421360342321</v>
      </c>
      <c r="F249" s="46">
        <v>0</v>
      </c>
      <c r="G249" s="16"/>
      <c r="H249" s="46">
        <f t="shared" si="14"/>
        <v>1.8092421360342321</v>
      </c>
      <c r="I249" s="15">
        <v>0</v>
      </c>
      <c r="J249" s="48">
        <f>МРСК!K249</f>
        <v>4.2</v>
      </c>
      <c r="K249" s="46">
        <f t="shared" si="16"/>
        <v>2.390757863965768</v>
      </c>
      <c r="L249" s="46">
        <f t="shared" si="15"/>
        <v>2.390757863965768</v>
      </c>
      <c r="M249" s="34"/>
      <c r="N249" s="13">
        <v>1.05</v>
      </c>
      <c r="O249" s="47">
        <v>2.5</v>
      </c>
      <c r="Q249" s="13">
        <v>0.025</v>
      </c>
      <c r="R249" s="13" t="s">
        <v>13</v>
      </c>
      <c r="T249" s="13">
        <v>8</v>
      </c>
    </row>
    <row r="250" spans="1:20" s="13" customFormat="1" ht="24" customHeight="1">
      <c r="A250" s="14">
        <v>171</v>
      </c>
      <c r="B250" s="210" t="s">
        <v>232</v>
      </c>
      <c r="C250" s="47" t="s">
        <v>19</v>
      </c>
      <c r="D250" s="145">
        <f t="shared" si="13"/>
        <v>0</v>
      </c>
      <c r="E250" s="15">
        <f>D250+МРСК!F250</f>
        <v>1.9641914366985718</v>
      </c>
      <c r="F250" s="46">
        <v>1.3512660729848878</v>
      </c>
      <c r="G250" s="16">
        <v>20</v>
      </c>
      <c r="H250" s="46">
        <f t="shared" si="14"/>
        <v>0.612925363713684</v>
      </c>
      <c r="I250" s="15">
        <v>0</v>
      </c>
      <c r="J250" s="48">
        <f>МРСК!K250</f>
        <v>6.615</v>
      </c>
      <c r="K250" s="46">
        <f t="shared" si="16"/>
        <v>6.002074636286316</v>
      </c>
      <c r="L250" s="46">
        <f t="shared" si="15"/>
        <v>6.002074636286316</v>
      </c>
      <c r="M250" s="34"/>
      <c r="N250" s="13">
        <v>1.05</v>
      </c>
      <c r="O250" s="47">
        <v>6.3</v>
      </c>
      <c r="Q250" s="13">
        <v>0</v>
      </c>
      <c r="R250" s="13" t="s">
        <v>19</v>
      </c>
      <c r="T250" s="13">
        <v>13.8</v>
      </c>
    </row>
    <row r="251" spans="1:20" s="13" customFormat="1" ht="19.5">
      <c r="A251" s="14">
        <v>172</v>
      </c>
      <c r="B251" s="211" t="s">
        <v>233</v>
      </c>
      <c r="C251" s="47" t="s">
        <v>15</v>
      </c>
      <c r="D251" s="145">
        <f t="shared" si="13"/>
        <v>0.1</v>
      </c>
      <c r="E251" s="15">
        <f>D251+МРСК!F251</f>
        <v>2.1637054053328444</v>
      </c>
      <c r="F251" s="46">
        <v>0</v>
      </c>
      <c r="G251" s="16"/>
      <c r="H251" s="46">
        <f t="shared" si="14"/>
        <v>2.1637054053328444</v>
      </c>
      <c r="I251" s="15">
        <v>0</v>
      </c>
      <c r="J251" s="48">
        <f>МРСК!K251</f>
        <v>6.615</v>
      </c>
      <c r="K251" s="46">
        <f t="shared" si="16"/>
        <v>4.451294594667155</v>
      </c>
      <c r="L251" s="46">
        <f t="shared" si="15"/>
        <v>4.451294594667155</v>
      </c>
      <c r="M251" s="34"/>
      <c r="N251" s="13">
        <v>1.05</v>
      </c>
      <c r="O251" s="47">
        <v>6.3</v>
      </c>
      <c r="Q251" s="13">
        <f>0.025+0.015+0.06</f>
        <v>0.1</v>
      </c>
      <c r="R251" s="13" t="s">
        <v>15</v>
      </c>
      <c r="T251" s="13">
        <v>12.6</v>
      </c>
    </row>
    <row r="252" spans="1:20" s="13" customFormat="1" ht="19.5">
      <c r="A252" s="14">
        <v>173</v>
      </c>
      <c r="B252" s="210" t="s">
        <v>234</v>
      </c>
      <c r="C252" s="47" t="s">
        <v>12</v>
      </c>
      <c r="D252" s="145">
        <f t="shared" si="13"/>
        <v>0.052</v>
      </c>
      <c r="E252" s="15">
        <f>D252+МРСК!F252</f>
        <v>1.7528703654305933</v>
      </c>
      <c r="F252" s="46">
        <v>0.7906646371233466</v>
      </c>
      <c r="G252" s="16">
        <v>80</v>
      </c>
      <c r="H252" s="46">
        <f t="shared" si="14"/>
        <v>0.9622057283072467</v>
      </c>
      <c r="I252" s="15">
        <v>0</v>
      </c>
      <c r="J252" s="48">
        <f>МРСК!K252</f>
        <v>2.625</v>
      </c>
      <c r="K252" s="46">
        <f t="shared" si="16"/>
        <v>1.6627942716927533</v>
      </c>
      <c r="L252" s="46">
        <f t="shared" si="15"/>
        <v>1.6627942716927533</v>
      </c>
      <c r="M252" s="34"/>
      <c r="N252" s="13">
        <v>1.05</v>
      </c>
      <c r="O252" s="47">
        <v>2.5</v>
      </c>
      <c r="Q252" s="13">
        <v>0.052</v>
      </c>
      <c r="R252" s="13" t="s">
        <v>12</v>
      </c>
      <c r="T252" s="13">
        <v>5</v>
      </c>
    </row>
    <row r="253" spans="1:20" s="13" customFormat="1" ht="19.5">
      <c r="A253" s="14">
        <v>174</v>
      </c>
      <c r="B253" s="210" t="s">
        <v>235</v>
      </c>
      <c r="C253" s="47" t="s">
        <v>31</v>
      </c>
      <c r="D253" s="145">
        <f t="shared" si="13"/>
        <v>0.2</v>
      </c>
      <c r="E253" s="15">
        <f>D253+МРСК!F253</f>
        <v>3.7722754653021933</v>
      </c>
      <c r="F253" s="46">
        <v>1.03</v>
      </c>
      <c r="G253" s="16">
        <v>80</v>
      </c>
      <c r="H253" s="46">
        <f t="shared" si="14"/>
        <v>2.7422754653021935</v>
      </c>
      <c r="I253" s="15">
        <v>0</v>
      </c>
      <c r="J253" s="48">
        <f>МРСК!K253</f>
        <v>4.2</v>
      </c>
      <c r="K253" s="46">
        <f t="shared" si="16"/>
        <v>1.4577245346978067</v>
      </c>
      <c r="L253" s="46">
        <f t="shared" si="15"/>
        <v>1.4577245346978067</v>
      </c>
      <c r="M253" s="34"/>
      <c r="N253" s="13">
        <v>1.05</v>
      </c>
      <c r="O253" s="47">
        <v>2.5</v>
      </c>
      <c r="Q253" s="13">
        <v>0.2</v>
      </c>
      <c r="R253" s="13" t="s">
        <v>31</v>
      </c>
      <c r="T253" s="13">
        <v>10.3</v>
      </c>
    </row>
    <row r="254" spans="1:20" s="13" customFormat="1" ht="19.5">
      <c r="A254" s="14">
        <v>175</v>
      </c>
      <c r="B254" s="210" t="s">
        <v>236</v>
      </c>
      <c r="C254" s="47" t="s">
        <v>13</v>
      </c>
      <c r="D254" s="145">
        <f t="shared" si="13"/>
        <v>0</v>
      </c>
      <c r="E254" s="15">
        <f>D254+МРСК!F254</f>
        <v>1.8006221147148005</v>
      </c>
      <c r="F254" s="46">
        <v>1.1284260177094108</v>
      </c>
      <c r="G254" s="16">
        <v>80</v>
      </c>
      <c r="H254" s="46">
        <f t="shared" si="14"/>
        <v>0.6721960970053897</v>
      </c>
      <c r="I254" s="15">
        <v>0</v>
      </c>
      <c r="J254" s="48">
        <f>МРСК!K254</f>
        <v>4.2</v>
      </c>
      <c r="K254" s="46">
        <f t="shared" si="16"/>
        <v>3.52780390299461</v>
      </c>
      <c r="L254" s="46">
        <f t="shared" si="15"/>
        <v>3.52780390299461</v>
      </c>
      <c r="M254" s="34"/>
      <c r="N254" s="13">
        <v>1.05</v>
      </c>
      <c r="O254" s="47">
        <v>4</v>
      </c>
      <c r="Q254" s="13">
        <v>0</v>
      </c>
      <c r="R254" s="13" t="s">
        <v>13</v>
      </c>
      <c r="T254" s="13">
        <v>8</v>
      </c>
    </row>
    <row r="255" spans="1:20" s="13" customFormat="1" ht="20.25" thickBot="1">
      <c r="A255" s="14">
        <v>176</v>
      </c>
      <c r="B255" s="212" t="s">
        <v>237</v>
      </c>
      <c r="C255" s="19" t="s">
        <v>12</v>
      </c>
      <c r="D255" s="158">
        <f t="shared" si="13"/>
        <v>0</v>
      </c>
      <c r="E255" s="21">
        <f>D255+МРСК!F255</f>
        <v>0.5689569403742255</v>
      </c>
      <c r="F255" s="20">
        <v>0.14647866738880444</v>
      </c>
      <c r="G255" s="22">
        <v>80</v>
      </c>
      <c r="H255" s="20">
        <f t="shared" si="14"/>
        <v>0.42247827298542107</v>
      </c>
      <c r="I255" s="21">
        <v>0</v>
      </c>
      <c r="J255" s="49">
        <f>МРСК!K255</f>
        <v>2.625</v>
      </c>
      <c r="K255" s="20">
        <f t="shared" si="16"/>
        <v>2.202521727014579</v>
      </c>
      <c r="L255" s="20">
        <f t="shared" si="15"/>
        <v>2.202521727014579</v>
      </c>
      <c r="M255" s="35"/>
      <c r="N255" s="13">
        <v>1.05</v>
      </c>
      <c r="O255" s="26">
        <v>2.5</v>
      </c>
      <c r="Q255" s="13">
        <v>0</v>
      </c>
      <c r="R255" s="13" t="s">
        <v>12</v>
      </c>
      <c r="T255" s="13">
        <v>5</v>
      </c>
    </row>
    <row r="256" spans="1:20" s="56" customFormat="1" ht="19.5">
      <c r="A256" s="89"/>
      <c r="B256" s="53" t="s">
        <v>238</v>
      </c>
      <c r="C256" s="96">
        <v>3186.9</v>
      </c>
      <c r="D256" s="121">
        <f>#VALUE!</f>
        <v>64.70464999999999</v>
      </c>
      <c r="E256" s="94" t="e">
        <f>#VALUE!</f>
        <v>#VALUE!</v>
      </c>
      <c r="F256" s="94">
        <f>#VALUE!</f>
        <v>453.927509423786</v>
      </c>
      <c r="G256" s="95"/>
      <c r="H256" s="94" t="e">
        <f>#VALUE!</f>
        <v>#VALUE!</v>
      </c>
      <c r="I256" s="90"/>
      <c r="J256" s="90"/>
      <c r="K256" s="90"/>
      <c r="L256" s="90"/>
      <c r="M256" s="91"/>
      <c r="T256" s="56">
        <f>SUM(T51:T255)</f>
        <v>3049.199999999999</v>
      </c>
    </row>
    <row r="257" spans="1:13" s="56" customFormat="1" ht="20.25">
      <c r="A257" s="57"/>
      <c r="B257" s="58" t="s">
        <v>239</v>
      </c>
      <c r="C257" s="59"/>
      <c r="D257" s="159"/>
      <c r="E257" s="97"/>
      <c r="F257" s="59"/>
      <c r="G257" s="59"/>
      <c r="H257" s="59"/>
      <c r="I257" s="92"/>
      <c r="J257" s="92"/>
      <c r="K257" s="92"/>
      <c r="L257" s="68" t="e">
        <f>Итоговая!AA254</f>
        <v>#REF!</v>
      </c>
      <c r="M257" s="102"/>
    </row>
    <row r="258" spans="1:20" s="56" customFormat="1" ht="26.25" thickBot="1">
      <c r="A258" s="61"/>
      <c r="B258" s="62" t="s">
        <v>240</v>
      </c>
      <c r="C258" s="63"/>
      <c r="D258" s="160"/>
      <c r="E258" s="63"/>
      <c r="F258" s="63"/>
      <c r="G258" s="63"/>
      <c r="H258" s="63"/>
      <c r="I258" s="93"/>
      <c r="J258" s="93"/>
      <c r="K258" s="93"/>
      <c r="L258" s="70">
        <f>SUM(L9:L255)</f>
        <v>833.0636445986153</v>
      </c>
      <c r="M258" s="64"/>
      <c r="T258" s="115">
        <f>T256+R50</f>
        <v>3186.8999999999987</v>
      </c>
    </row>
    <row r="259" spans="3:10" ht="15.75">
      <c r="C259" s="4"/>
      <c r="D259" s="161"/>
      <c r="E259" s="4"/>
      <c r="F259" s="4"/>
      <c r="G259" s="4"/>
      <c r="H259" s="4"/>
      <c r="I259" s="4"/>
      <c r="J259" s="4"/>
    </row>
    <row r="260" spans="3:10" ht="20.25">
      <c r="C260" s="214"/>
      <c r="D260" s="214"/>
      <c r="E260" s="214"/>
      <c r="F260" s="214"/>
      <c r="G260" s="214"/>
      <c r="H260" s="214"/>
      <c r="I260" s="214"/>
      <c r="J260" s="214"/>
    </row>
  </sheetData>
  <sheetProtection/>
  <mergeCells count="50">
    <mergeCell ref="L135:L137"/>
    <mergeCell ref="L154:L156"/>
    <mergeCell ref="C260:J260"/>
    <mergeCell ref="L139:L141"/>
    <mergeCell ref="L144:L146"/>
    <mergeCell ref="L147:L149"/>
    <mergeCell ref="L150:L152"/>
    <mergeCell ref="L122:L124"/>
    <mergeCell ref="L125:L127"/>
    <mergeCell ref="L129:L131"/>
    <mergeCell ref="L132:L134"/>
    <mergeCell ref="L111:L113"/>
    <mergeCell ref="L114:L116"/>
    <mergeCell ref="L103:L105"/>
    <mergeCell ref="L75:L77"/>
    <mergeCell ref="L78:L80"/>
    <mergeCell ref="L81:L83"/>
    <mergeCell ref="L85:L87"/>
    <mergeCell ref="L90:L92"/>
    <mergeCell ref="L94:L96"/>
    <mergeCell ref="L97:L99"/>
    <mergeCell ref="L61:L63"/>
    <mergeCell ref="L65:L67"/>
    <mergeCell ref="L68:L70"/>
    <mergeCell ref="L106:L108"/>
    <mergeCell ref="L100:L102"/>
    <mergeCell ref="A4:A6"/>
    <mergeCell ref="B4:B6"/>
    <mergeCell ref="A2:N2"/>
    <mergeCell ref="L71:L73"/>
    <mergeCell ref="L18:L20"/>
    <mergeCell ref="L21:L23"/>
    <mergeCell ref="L24:L26"/>
    <mergeCell ref="L52:L54"/>
    <mergeCell ref="L55:L57"/>
    <mergeCell ref="L58:L60"/>
    <mergeCell ref="C4:L4"/>
    <mergeCell ref="L15:L17"/>
    <mergeCell ref="L9:L11"/>
    <mergeCell ref="L12:L14"/>
    <mergeCell ref="N4:N6"/>
    <mergeCell ref="C5:C6"/>
    <mergeCell ref="D5:D6"/>
    <mergeCell ref="E5:E6"/>
    <mergeCell ref="H5:H6"/>
    <mergeCell ref="I5:I6"/>
    <mergeCell ref="J5:J6"/>
    <mergeCell ref="F5:G5"/>
    <mergeCell ref="K5:L6"/>
    <mergeCell ref="M4:M6"/>
  </mergeCells>
  <conditionalFormatting sqref="L258 L9:L49 L51:L255">
    <cfRule type="cellIs" priority="5" dxfId="0" operator="lessThan">
      <formula>0</formula>
    </cfRule>
  </conditionalFormatting>
  <conditionalFormatting sqref="M109">
    <cfRule type="cellIs" priority="1" dxfId="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ignoredErrors>
    <ignoredError sqref="D131 D134 D1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57"/>
  <sheetViews>
    <sheetView tabSelected="1" zoomScale="55" zoomScaleNormal="55" zoomScalePageLayoutView="0" workbookViewId="0" topLeftCell="K1">
      <selection activeCell="Z2" sqref="Z2:AA3"/>
    </sheetView>
  </sheetViews>
  <sheetFormatPr defaultColWidth="9.140625" defaultRowHeight="15"/>
  <cols>
    <col min="1" max="1" width="9.140625" style="1" customWidth="1"/>
    <col min="2" max="2" width="44.7109375" style="4" customWidth="1"/>
    <col min="3" max="3" width="23.140625" style="1" customWidth="1"/>
    <col min="4" max="5" width="23.140625" style="1" hidden="1" customWidth="1"/>
    <col min="6" max="6" width="22.00390625" style="127" customWidth="1"/>
    <col min="7" max="7" width="14.57421875" style="5" customWidth="1"/>
    <col min="8" max="8" width="11.00390625" style="5" customWidth="1"/>
    <col min="9" max="9" width="16.421875" style="1" bestFit="1" customWidth="1"/>
    <col min="10" max="11" width="19.140625" style="1" customWidth="1"/>
    <col min="12" max="12" width="18.421875" style="1" customWidth="1"/>
    <col min="13" max="13" width="17.140625" style="1" customWidth="1"/>
    <col min="14" max="14" width="17.57421875" style="1" customWidth="1"/>
    <col min="15" max="15" width="2.00390625" style="130" customWidth="1"/>
    <col min="16" max="16" width="9.140625" style="1" customWidth="1"/>
    <col min="17" max="17" width="43.28125" style="4" customWidth="1"/>
    <col min="18" max="18" width="23.140625" style="1" customWidth="1"/>
    <col min="19" max="19" width="21.57421875" style="1" customWidth="1"/>
    <col min="20" max="20" width="19.00390625" style="1" customWidth="1"/>
    <col min="21" max="21" width="12.421875" style="5" customWidth="1"/>
    <col min="22" max="22" width="11.00390625" style="5" customWidth="1"/>
    <col min="23" max="23" width="16.421875" style="1" bestFit="1" customWidth="1"/>
    <col min="24" max="24" width="19.140625" style="1" customWidth="1"/>
    <col min="25" max="25" width="16.00390625" style="1" customWidth="1"/>
    <col min="26" max="27" width="13.00390625" style="1" customWidth="1"/>
    <col min="28" max="28" width="18.8515625" style="1" customWidth="1"/>
  </cols>
  <sheetData>
    <row r="1" spans="1:28" ht="20.25" customHeight="1" thickBot="1">
      <c r="A1" s="227" t="s">
        <v>37</v>
      </c>
      <c r="B1" s="228" t="s">
        <v>38</v>
      </c>
      <c r="C1" s="253" t="s">
        <v>42</v>
      </c>
      <c r="D1" s="224"/>
      <c r="E1" s="224"/>
      <c r="F1" s="224"/>
      <c r="G1" s="224"/>
      <c r="H1" s="224"/>
      <c r="I1" s="224"/>
      <c r="J1" s="224"/>
      <c r="K1" s="224"/>
      <c r="L1" s="225"/>
      <c r="M1" s="226"/>
      <c r="N1" s="206" t="s">
        <v>49</v>
      </c>
      <c r="P1" s="227" t="s">
        <v>37</v>
      </c>
      <c r="Q1" s="228" t="s">
        <v>38</v>
      </c>
      <c r="R1" s="250" t="s">
        <v>288</v>
      </c>
      <c r="S1" s="251"/>
      <c r="T1" s="251"/>
      <c r="U1" s="251"/>
      <c r="V1" s="251"/>
      <c r="W1" s="251"/>
      <c r="X1" s="251"/>
      <c r="Y1" s="251"/>
      <c r="Z1" s="251"/>
      <c r="AA1" s="252"/>
      <c r="AB1" s="241" t="s">
        <v>49</v>
      </c>
    </row>
    <row r="2" spans="1:28" ht="137.25" customHeight="1" thickBot="1">
      <c r="A2" s="215"/>
      <c r="B2" s="216"/>
      <c r="C2" s="216" t="s">
        <v>39</v>
      </c>
      <c r="D2" s="126" t="s">
        <v>34</v>
      </c>
      <c r="E2" s="126" t="s">
        <v>35</v>
      </c>
      <c r="F2" s="171" t="s">
        <v>40</v>
      </c>
      <c r="G2" s="232" t="s">
        <v>43</v>
      </c>
      <c r="H2" s="233"/>
      <c r="I2" s="215" t="s">
        <v>45</v>
      </c>
      <c r="J2" s="215" t="s">
        <v>46</v>
      </c>
      <c r="K2" s="216" t="s">
        <v>47</v>
      </c>
      <c r="L2" s="219" t="s">
        <v>48</v>
      </c>
      <c r="M2" s="220"/>
      <c r="N2" s="207"/>
      <c r="P2" s="215"/>
      <c r="Q2" s="216"/>
      <c r="R2" s="216" t="s">
        <v>39</v>
      </c>
      <c r="S2" s="246" t="s">
        <v>289</v>
      </c>
      <c r="T2" s="246" t="s">
        <v>290</v>
      </c>
      <c r="U2" s="248" t="s">
        <v>43</v>
      </c>
      <c r="V2" s="224"/>
      <c r="W2" s="215" t="s">
        <v>45</v>
      </c>
      <c r="X2" s="215" t="s">
        <v>46</v>
      </c>
      <c r="Y2" s="216" t="s">
        <v>291</v>
      </c>
      <c r="Z2" s="222" t="s">
        <v>48</v>
      </c>
      <c r="AA2" s="223"/>
      <c r="AB2" s="242"/>
    </row>
    <row r="3" spans="1:28" ht="20.25" thickBot="1">
      <c r="A3" s="215"/>
      <c r="B3" s="229"/>
      <c r="C3" s="216"/>
      <c r="D3" s="125"/>
      <c r="E3" s="125"/>
      <c r="F3" s="25" t="s">
        <v>41</v>
      </c>
      <c r="G3" s="50" t="s">
        <v>41</v>
      </c>
      <c r="H3" s="50" t="s">
        <v>44</v>
      </c>
      <c r="I3" s="215"/>
      <c r="J3" s="215"/>
      <c r="K3" s="216"/>
      <c r="L3" s="221"/>
      <c r="M3" s="205"/>
      <c r="N3" s="208"/>
      <c r="P3" s="215"/>
      <c r="Q3" s="229"/>
      <c r="R3" s="216"/>
      <c r="S3" s="247"/>
      <c r="T3" s="247"/>
      <c r="U3" s="25" t="s">
        <v>41</v>
      </c>
      <c r="V3" s="50" t="s">
        <v>44</v>
      </c>
      <c r="W3" s="215"/>
      <c r="X3" s="215"/>
      <c r="Y3" s="216"/>
      <c r="Z3" s="232"/>
      <c r="AA3" s="249"/>
      <c r="AB3" s="243"/>
    </row>
    <row r="4" spans="1:28" ht="20.25" thickBot="1">
      <c r="A4" s="106">
        <v>1</v>
      </c>
      <c r="B4" s="51">
        <v>2</v>
      </c>
      <c r="C4" s="7">
        <v>4</v>
      </c>
      <c r="D4" s="7"/>
      <c r="E4" s="7"/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234">
        <v>11</v>
      </c>
      <c r="M4" s="234"/>
      <c r="N4" s="106">
        <v>12</v>
      </c>
      <c r="P4" s="106">
        <v>1</v>
      </c>
      <c r="Q4" s="7">
        <v>2</v>
      </c>
      <c r="R4" s="106">
        <v>3</v>
      </c>
      <c r="S4" s="7">
        <v>4</v>
      </c>
      <c r="T4" s="106">
        <v>5</v>
      </c>
      <c r="U4" s="106">
        <v>6</v>
      </c>
      <c r="V4" s="7">
        <v>7</v>
      </c>
      <c r="W4" s="106">
        <v>8</v>
      </c>
      <c r="X4" s="7">
        <v>9</v>
      </c>
      <c r="Y4" s="106">
        <v>10</v>
      </c>
      <c r="Z4" s="106">
        <v>11</v>
      </c>
      <c r="AA4" s="71">
        <v>12</v>
      </c>
      <c r="AB4" s="106">
        <v>13</v>
      </c>
    </row>
    <row r="5" spans="1:28" ht="20.25" thickBot="1">
      <c r="A5" s="32" t="s">
        <v>57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P5" s="32" t="s">
        <v>57</v>
      </c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</row>
    <row r="6" spans="1:28" ht="20.25" thickBot="1">
      <c r="A6" s="162">
        <v>1</v>
      </c>
      <c r="B6" s="209" t="s">
        <v>58</v>
      </c>
      <c r="C6" s="131">
        <f>'МРСК 2'!C9</f>
        <v>6.3</v>
      </c>
      <c r="D6" s="131">
        <f>D7+D8</f>
        <v>1523</v>
      </c>
      <c r="E6" s="131">
        <f>E7+E8</f>
        <v>679</v>
      </c>
      <c r="F6" s="119">
        <f aca="true" t="shared" si="0" ref="F6:F46">SQRT(D6*D6+E6*E6)/1000</f>
        <v>1.6675041229334338</v>
      </c>
      <c r="G6" s="132">
        <v>1.457</v>
      </c>
      <c r="H6" s="133">
        <v>45</v>
      </c>
      <c r="I6" s="134">
        <f>G6</f>
        <v>1.457</v>
      </c>
      <c r="J6" s="134">
        <v>0</v>
      </c>
      <c r="K6" s="134">
        <f>G6-J6</f>
        <v>1.457</v>
      </c>
      <c r="L6" s="135">
        <f aca="true" t="shared" si="1" ref="L6:L46">K6-F6</f>
        <v>-0.21050412293343368</v>
      </c>
      <c r="M6" s="235">
        <f>MIN(L6:L8)</f>
        <v>-0.5794173589107325</v>
      </c>
      <c r="N6" s="41"/>
      <c r="P6" s="9">
        <v>1</v>
      </c>
      <c r="Q6" s="209" t="s">
        <v>58</v>
      </c>
      <c r="R6" s="163">
        <f>'МРСК 2'!C9</f>
        <v>6.3</v>
      </c>
      <c r="S6" s="163">
        <f>'МРСК 2'!D9</f>
        <v>0</v>
      </c>
      <c r="T6" s="163">
        <f>'МРСК 2'!E9</f>
        <v>1.6675041229334338</v>
      </c>
      <c r="U6" s="163">
        <f>'МРСК 2'!F9</f>
        <v>1.457</v>
      </c>
      <c r="V6" s="163">
        <f>'МРСК 2'!G9</f>
        <v>45</v>
      </c>
      <c r="W6" s="163">
        <f>'МРСК 2'!H9</f>
        <v>0.21050412293343368</v>
      </c>
      <c r="X6" s="163">
        <f>'МРСК 2'!I9</f>
        <v>0</v>
      </c>
      <c r="Y6" s="163">
        <f>'МРСК 2'!J9</f>
        <v>1.457</v>
      </c>
      <c r="Z6" s="163">
        <f>'МРСК 2'!K9</f>
        <v>-0.21050412293343368</v>
      </c>
      <c r="AA6" s="235" t="e">
        <f>'МРСК 2'!L9:L11</f>
        <v>#VALUE!</v>
      </c>
      <c r="AB6" s="41"/>
    </row>
    <row r="7" spans="1:28" ht="20.25" thickBot="1">
      <c r="A7" s="14"/>
      <c r="B7" s="210" t="s">
        <v>59</v>
      </c>
      <c r="C7" s="8">
        <f>'МРСК 2'!C10</f>
        <v>6.3</v>
      </c>
      <c r="D7" s="8">
        <v>513</v>
      </c>
      <c r="E7" s="8">
        <v>301</v>
      </c>
      <c r="F7" s="128">
        <f t="shared" si="0"/>
        <v>0.5947856756849479</v>
      </c>
      <c r="G7" s="33">
        <v>0.958</v>
      </c>
      <c r="H7" s="47"/>
      <c r="I7" s="15">
        <f aca="true" t="shared" si="2" ref="I7:I46">G7</f>
        <v>0.958</v>
      </c>
      <c r="J7" s="15">
        <v>0</v>
      </c>
      <c r="K7" s="31">
        <f aca="true" t="shared" si="3" ref="K7:K46">G7-J7</f>
        <v>0.958</v>
      </c>
      <c r="L7" s="46">
        <f t="shared" si="1"/>
        <v>0.3632143243150521</v>
      </c>
      <c r="M7" s="236"/>
      <c r="N7" s="34"/>
      <c r="P7" s="14"/>
      <c r="Q7" s="210" t="s">
        <v>59</v>
      </c>
      <c r="R7" s="8">
        <f>'МРСК 2'!C10</f>
        <v>6.3</v>
      </c>
      <c r="S7" s="8">
        <f>'МРСК 2'!D10</f>
        <v>0</v>
      </c>
      <c r="T7" s="99">
        <f>'МРСК 2'!E10</f>
        <v>0.5947856756849479</v>
      </c>
      <c r="U7" s="33">
        <f>'МРСК 2'!F10</f>
        <v>0.958</v>
      </c>
      <c r="V7" s="47">
        <f>'МРСК 2'!G10</f>
        <v>0</v>
      </c>
      <c r="W7" s="15">
        <f>'МРСК 2'!H10</f>
        <v>-0.3632143243150521</v>
      </c>
      <c r="X7" s="15">
        <f>'МРСК 2'!I10</f>
        <v>0</v>
      </c>
      <c r="Y7" s="15">
        <f>'МРСК 2'!J10</f>
        <v>0.958</v>
      </c>
      <c r="Z7" s="46">
        <f>'МРСК 2'!K10</f>
        <v>0.3632143243150521</v>
      </c>
      <c r="AA7" s="236"/>
      <c r="AB7" s="34"/>
    </row>
    <row r="8" spans="1:28" ht="20.25" thickBot="1">
      <c r="A8" s="74"/>
      <c r="B8" s="210" t="s">
        <v>60</v>
      </c>
      <c r="C8" s="75">
        <f>'МРСК 2'!C11</f>
        <v>6.3</v>
      </c>
      <c r="D8" s="75">
        <v>1010</v>
      </c>
      <c r="E8" s="75">
        <v>378</v>
      </c>
      <c r="F8" s="128">
        <f t="shared" si="0"/>
        <v>1.0784173589107326</v>
      </c>
      <c r="G8" s="77">
        <v>0.4990000000000001</v>
      </c>
      <c r="H8" s="78"/>
      <c r="I8" s="79">
        <f t="shared" si="2"/>
        <v>0.4990000000000001</v>
      </c>
      <c r="J8" s="79">
        <v>0</v>
      </c>
      <c r="K8" s="80">
        <f>G8-J8</f>
        <v>0.4990000000000001</v>
      </c>
      <c r="L8" s="76">
        <f>K8-F8</f>
        <v>-0.5794173589107325</v>
      </c>
      <c r="M8" s="237"/>
      <c r="N8" s="81"/>
      <c r="P8" s="74"/>
      <c r="Q8" s="210" t="s">
        <v>60</v>
      </c>
      <c r="R8" s="75">
        <f>'МРСК 2'!C11</f>
        <v>6.3</v>
      </c>
      <c r="S8" s="75">
        <f>'МРСК 2'!D11</f>
        <v>0</v>
      </c>
      <c r="T8" s="100">
        <f>'МРСК 2'!E11</f>
        <v>1.0784173589107326</v>
      </c>
      <c r="U8" s="77">
        <f>'МРСК 2'!F11</f>
        <v>0.4990000000000001</v>
      </c>
      <c r="V8" s="78">
        <f>'МРСК 2'!G11</f>
        <v>0</v>
      </c>
      <c r="W8" s="79">
        <f>'МРСК 2'!H11</f>
        <v>0.5794173589107325</v>
      </c>
      <c r="X8" s="79">
        <f>'МРСК 2'!I11</f>
        <v>0</v>
      </c>
      <c r="Y8" s="79">
        <f>'МРСК 2'!J11</f>
        <v>0.4990000000000001</v>
      </c>
      <c r="Z8" s="76">
        <f>'МРСК 2'!K11</f>
        <v>-0.5794173589107325</v>
      </c>
      <c r="AA8" s="237"/>
      <c r="AB8" s="81"/>
    </row>
    <row r="9" spans="1:28" ht="21" thickBot="1" thickTop="1">
      <c r="A9" s="164">
        <v>2</v>
      </c>
      <c r="B9" s="209" t="s">
        <v>61</v>
      </c>
      <c r="C9" s="136">
        <f>'МРСК 2'!C12</f>
        <v>6.3</v>
      </c>
      <c r="D9" s="136">
        <f>D10+D11</f>
        <v>375</v>
      </c>
      <c r="E9" s="136">
        <f>E10+E11</f>
        <v>154</v>
      </c>
      <c r="F9" s="119">
        <f t="shared" si="0"/>
        <v>0.40538993574088644</v>
      </c>
      <c r="G9" s="137">
        <v>0.39</v>
      </c>
      <c r="H9" s="138">
        <v>20</v>
      </c>
      <c r="I9" s="139">
        <f t="shared" si="2"/>
        <v>0.39</v>
      </c>
      <c r="J9" s="139">
        <v>0</v>
      </c>
      <c r="K9" s="139">
        <f t="shared" si="3"/>
        <v>0.39</v>
      </c>
      <c r="L9" s="140">
        <f t="shared" si="1"/>
        <v>-0.015389935740886429</v>
      </c>
      <c r="M9" s="238">
        <f>MIN(L9:L11)</f>
        <v>-0.015389935740886429</v>
      </c>
      <c r="N9" s="88"/>
      <c r="P9" s="82">
        <v>2</v>
      </c>
      <c r="Q9" s="209" t="s">
        <v>61</v>
      </c>
      <c r="R9" s="136">
        <f>'МРСК 2'!C12</f>
        <v>6.3</v>
      </c>
      <c r="S9" s="136">
        <f>'МРСК 2'!D12</f>
        <v>0</v>
      </c>
      <c r="T9" s="165">
        <f>'МРСК 2'!E12</f>
        <v>0.40538993574088644</v>
      </c>
      <c r="U9" s="137">
        <f>'МРСК 2'!F12</f>
        <v>0.39</v>
      </c>
      <c r="V9" s="138">
        <f>'МРСК 2'!G12</f>
        <v>20</v>
      </c>
      <c r="W9" s="139">
        <f>'МРСК 2'!H12</f>
        <v>0.015389935740886429</v>
      </c>
      <c r="X9" s="139">
        <f>'МРСК 2'!I12</f>
        <v>0</v>
      </c>
      <c r="Y9" s="139">
        <f>'МРСК 2'!J12</f>
        <v>0.39</v>
      </c>
      <c r="Z9" s="140">
        <f>'МРСК 2'!K12</f>
        <v>-0.015389935740886429</v>
      </c>
      <c r="AA9" s="238" t="e">
        <f>'МРСК 2'!L12:L14</f>
        <v>#VALUE!</v>
      </c>
      <c r="AB9" s="88"/>
    </row>
    <row r="10" spans="1:28" ht="20.25" thickBot="1">
      <c r="A10" s="14"/>
      <c r="B10" s="210" t="s">
        <v>59</v>
      </c>
      <c r="C10" s="8">
        <f>'МРСК 2'!C13</f>
        <v>6.3</v>
      </c>
      <c r="D10" s="8"/>
      <c r="E10" s="8"/>
      <c r="F10" s="128">
        <f t="shared" si="0"/>
        <v>0</v>
      </c>
      <c r="G10" s="33">
        <v>0</v>
      </c>
      <c r="H10" s="47"/>
      <c r="I10" s="15">
        <f t="shared" si="2"/>
        <v>0</v>
      </c>
      <c r="J10" s="15">
        <v>0</v>
      </c>
      <c r="K10" s="31">
        <f t="shared" si="3"/>
        <v>0</v>
      </c>
      <c r="L10" s="46">
        <f t="shared" si="1"/>
        <v>0</v>
      </c>
      <c r="M10" s="236"/>
      <c r="N10" s="34"/>
      <c r="P10" s="14"/>
      <c r="Q10" s="210" t="s">
        <v>59</v>
      </c>
      <c r="R10" s="8">
        <f>'МРСК 2'!C13</f>
        <v>6.3</v>
      </c>
      <c r="S10" s="8">
        <f>'МРСК 2'!D13</f>
        <v>0</v>
      </c>
      <c r="T10" s="99">
        <f>'МРСК 2'!E13</f>
        <v>0</v>
      </c>
      <c r="U10" s="33">
        <f>'МРСК 2'!F13</f>
        <v>0</v>
      </c>
      <c r="V10" s="47">
        <f>'МРСК 2'!G13</f>
        <v>0</v>
      </c>
      <c r="W10" s="15">
        <f>'МРСК 2'!H13</f>
        <v>0</v>
      </c>
      <c r="X10" s="15">
        <f>'МРСК 2'!I13</f>
        <v>0</v>
      </c>
      <c r="Y10" s="15">
        <f>'МРСК 2'!J13</f>
        <v>0</v>
      </c>
      <c r="Z10" s="46">
        <f>'МРСК 2'!K13</f>
        <v>0</v>
      </c>
      <c r="AA10" s="236"/>
      <c r="AB10" s="34"/>
    </row>
    <row r="11" spans="1:28" ht="20.25" thickBot="1">
      <c r="A11" s="74"/>
      <c r="B11" s="210" t="s">
        <v>60</v>
      </c>
      <c r="C11" s="75">
        <f>'МРСК 2'!C14</f>
        <v>6.3</v>
      </c>
      <c r="D11" s="75">
        <v>375</v>
      </c>
      <c r="E11" s="75">
        <v>154</v>
      </c>
      <c r="F11" s="128">
        <f t="shared" si="0"/>
        <v>0.40538993574088644</v>
      </c>
      <c r="G11" s="77">
        <v>0.39</v>
      </c>
      <c r="H11" s="78"/>
      <c r="I11" s="79">
        <f t="shared" si="2"/>
        <v>0.39</v>
      </c>
      <c r="J11" s="79">
        <v>0</v>
      </c>
      <c r="K11" s="80">
        <f t="shared" si="3"/>
        <v>0.39</v>
      </c>
      <c r="L11" s="76">
        <f t="shared" si="1"/>
        <v>-0.015389935740886429</v>
      </c>
      <c r="M11" s="237"/>
      <c r="N11" s="81"/>
      <c r="P11" s="74"/>
      <c r="Q11" s="210" t="s">
        <v>60</v>
      </c>
      <c r="R11" s="75">
        <f>'МРСК 2'!C14</f>
        <v>6.3</v>
      </c>
      <c r="S11" s="75">
        <f>'МРСК 2'!D14</f>
        <v>0</v>
      </c>
      <c r="T11" s="100">
        <f>'МРСК 2'!E14</f>
        <v>0.40538993574088644</v>
      </c>
      <c r="U11" s="77">
        <f>'МРСК 2'!F14</f>
        <v>0.39</v>
      </c>
      <c r="V11" s="78">
        <f>'МРСК 2'!G14</f>
        <v>0</v>
      </c>
      <c r="W11" s="79">
        <f>'МРСК 2'!H14</f>
        <v>0.015389935740886429</v>
      </c>
      <c r="X11" s="79">
        <f>'МРСК 2'!I14</f>
        <v>0</v>
      </c>
      <c r="Y11" s="79">
        <f>'МРСК 2'!J14</f>
        <v>0.39</v>
      </c>
      <c r="Z11" s="76">
        <f>'МРСК 2'!K14</f>
        <v>-0.015389935740886429</v>
      </c>
      <c r="AA11" s="237"/>
      <c r="AB11" s="81"/>
    </row>
    <row r="12" spans="1:28" ht="21" thickBot="1" thickTop="1">
      <c r="A12" s="184">
        <v>3</v>
      </c>
      <c r="B12" s="209" t="s">
        <v>62</v>
      </c>
      <c r="C12" s="141">
        <f>'МРСК 2'!C15</f>
        <v>16</v>
      </c>
      <c r="D12" s="141">
        <f>D13+D14</f>
        <v>11884</v>
      </c>
      <c r="E12" s="141">
        <f>E13+E14</f>
        <v>2898</v>
      </c>
      <c r="F12" s="119">
        <f t="shared" si="0"/>
        <v>12.23224672740049</v>
      </c>
      <c r="G12" s="142">
        <v>11.607</v>
      </c>
      <c r="H12" s="143">
        <v>120</v>
      </c>
      <c r="I12" s="144">
        <f t="shared" si="2"/>
        <v>11.607</v>
      </c>
      <c r="J12" s="144">
        <v>0</v>
      </c>
      <c r="K12" s="144">
        <f t="shared" si="3"/>
        <v>11.607</v>
      </c>
      <c r="L12" s="120">
        <f t="shared" si="1"/>
        <v>-0.6252467274004907</v>
      </c>
      <c r="M12" s="239">
        <f>MIN(L12:L14)</f>
        <v>-0.9052504435536761</v>
      </c>
      <c r="N12" s="44"/>
      <c r="P12" s="82">
        <v>3</v>
      </c>
      <c r="Q12" s="209" t="s">
        <v>62</v>
      </c>
      <c r="R12" s="136">
        <f>'МРСК 2'!C15</f>
        <v>16</v>
      </c>
      <c r="S12" s="136">
        <f>'МРСК 2'!D15</f>
        <v>0</v>
      </c>
      <c r="T12" s="165">
        <f>'МРСК 2'!E15</f>
        <v>12.23224672740049</v>
      </c>
      <c r="U12" s="137">
        <f>'МРСК 2'!F15</f>
        <v>11.607</v>
      </c>
      <c r="V12" s="138">
        <f>'МРСК 2'!G15</f>
        <v>120</v>
      </c>
      <c r="W12" s="139">
        <f>'МРСК 2'!H15</f>
        <v>0.6252467274004907</v>
      </c>
      <c r="X12" s="139">
        <f>'МРСК 2'!I15</f>
        <v>0</v>
      </c>
      <c r="Y12" s="139">
        <f>'МРСК 2'!J15</f>
        <v>11.607</v>
      </c>
      <c r="Z12" s="140">
        <f>'МРСК 2'!K15</f>
        <v>-0.6252467274004907</v>
      </c>
      <c r="AA12" s="238">
        <v>-0.9052504435536761</v>
      </c>
      <c r="AB12" s="88"/>
    </row>
    <row r="13" spans="1:28" ht="20.25" thickBot="1">
      <c r="A13" s="14"/>
      <c r="B13" s="210" t="s">
        <v>59</v>
      </c>
      <c r="C13" s="8">
        <f>'МРСК 2'!C16</f>
        <v>16</v>
      </c>
      <c r="D13" s="8">
        <v>9059</v>
      </c>
      <c r="E13" s="8">
        <v>2898</v>
      </c>
      <c r="F13" s="128">
        <f t="shared" si="0"/>
        <v>9.511250443553676</v>
      </c>
      <c r="G13" s="33">
        <v>8.606</v>
      </c>
      <c r="H13" s="47"/>
      <c r="I13" s="15">
        <f t="shared" si="2"/>
        <v>8.606</v>
      </c>
      <c r="J13" s="15">
        <v>0</v>
      </c>
      <c r="K13" s="31">
        <f t="shared" si="3"/>
        <v>8.606</v>
      </c>
      <c r="L13" s="46">
        <f t="shared" si="1"/>
        <v>-0.9052504435536761</v>
      </c>
      <c r="M13" s="236"/>
      <c r="N13" s="34"/>
      <c r="P13" s="14"/>
      <c r="Q13" s="210" t="s">
        <v>59</v>
      </c>
      <c r="R13" s="8">
        <f>'МРСК 2'!C16</f>
        <v>16</v>
      </c>
      <c r="S13" s="8">
        <f>'МРСК 2'!D16</f>
        <v>0</v>
      </c>
      <c r="T13" s="99">
        <f>'МРСК 2'!E16</f>
        <v>9.511250443553676</v>
      </c>
      <c r="U13" s="33">
        <f>'МРСК 2'!F16</f>
        <v>8.606</v>
      </c>
      <c r="V13" s="47">
        <f>'МРСК 2'!G16</f>
        <v>0</v>
      </c>
      <c r="W13" s="15">
        <f>'МРСК 2'!H16</f>
        <v>0.9052504435536761</v>
      </c>
      <c r="X13" s="15">
        <f>'МРСК 2'!I16</f>
        <v>0</v>
      </c>
      <c r="Y13" s="15">
        <f>'МРСК 2'!J16</f>
        <v>8.606</v>
      </c>
      <c r="Z13" s="46">
        <f>'МРСК 2'!K16</f>
        <v>-0.9052504435536761</v>
      </c>
      <c r="AA13" s="236"/>
      <c r="AB13" s="34"/>
    </row>
    <row r="14" spans="1:28" ht="20.25" thickBot="1">
      <c r="A14" s="17"/>
      <c r="B14" s="210" t="s">
        <v>60</v>
      </c>
      <c r="C14" s="18">
        <f>'МРСК 2'!C17</f>
        <v>16</v>
      </c>
      <c r="D14" s="18">
        <v>2825</v>
      </c>
      <c r="E14" s="18"/>
      <c r="F14" s="128">
        <f t="shared" si="0"/>
        <v>2.825</v>
      </c>
      <c r="G14" s="72">
        <v>3.0009999999999994</v>
      </c>
      <c r="H14" s="19"/>
      <c r="I14" s="21">
        <f t="shared" si="2"/>
        <v>3.0009999999999994</v>
      </c>
      <c r="J14" s="21">
        <v>0</v>
      </c>
      <c r="K14" s="73">
        <f t="shared" si="3"/>
        <v>3.0009999999999994</v>
      </c>
      <c r="L14" s="20">
        <f t="shared" si="1"/>
        <v>0.17599999999999927</v>
      </c>
      <c r="M14" s="240"/>
      <c r="N14" s="35"/>
      <c r="P14" s="74"/>
      <c r="Q14" s="210" t="s">
        <v>60</v>
      </c>
      <c r="R14" s="75">
        <f>'МРСК 2'!C17</f>
        <v>16</v>
      </c>
      <c r="S14" s="75">
        <f>'МРСК 2'!D17</f>
        <v>0</v>
      </c>
      <c r="T14" s="100">
        <f>'МРСК 2'!E17</f>
        <v>2.825</v>
      </c>
      <c r="U14" s="77">
        <f>'МРСК 2'!F17</f>
        <v>3.0009999999999994</v>
      </c>
      <c r="V14" s="78">
        <f>'МРСК 2'!G17</f>
        <v>0</v>
      </c>
      <c r="W14" s="79">
        <f>'МРСК 2'!H17</f>
        <v>-0.17599999999999927</v>
      </c>
      <c r="X14" s="79">
        <f>'МРСК 2'!I17</f>
        <v>0</v>
      </c>
      <c r="Y14" s="79">
        <f>'МРСК 2'!J17</f>
        <v>3.0009999999999994</v>
      </c>
      <c r="Z14" s="76">
        <f>'МРСК 2'!K17</f>
        <v>0.17599999999999927</v>
      </c>
      <c r="AA14" s="237"/>
      <c r="AB14" s="81"/>
    </row>
    <row r="15" spans="1:28" ht="21" thickBot="1" thickTop="1">
      <c r="A15" s="164">
        <v>4</v>
      </c>
      <c r="B15" s="209" t="s">
        <v>63</v>
      </c>
      <c r="C15" s="136">
        <f>'МРСК 2'!C18</f>
        <v>25</v>
      </c>
      <c r="D15" s="136">
        <f>D16+D17</f>
        <v>6036</v>
      </c>
      <c r="E15" s="136">
        <f>E16+E17</f>
        <v>1850</v>
      </c>
      <c r="F15" s="119">
        <f t="shared" si="0"/>
        <v>6.313144699751464</v>
      </c>
      <c r="G15" s="137">
        <v>6.679</v>
      </c>
      <c r="H15" s="138">
        <v>120</v>
      </c>
      <c r="I15" s="139">
        <f t="shared" si="2"/>
        <v>6.679</v>
      </c>
      <c r="J15" s="139">
        <v>0</v>
      </c>
      <c r="K15" s="139">
        <f t="shared" si="3"/>
        <v>6.679</v>
      </c>
      <c r="L15" s="140">
        <f t="shared" si="1"/>
        <v>0.3658553002485361</v>
      </c>
      <c r="M15" s="238">
        <f>MIN(L15:L17)</f>
        <v>-0.24768830459162405</v>
      </c>
      <c r="N15" s="88"/>
      <c r="P15" s="82">
        <v>4</v>
      </c>
      <c r="Q15" s="209" t="s">
        <v>63</v>
      </c>
      <c r="R15" s="136">
        <f>'МРСК 2'!C18</f>
        <v>25</v>
      </c>
      <c r="S15" s="136">
        <f>'МРСК 2'!D18</f>
        <v>1.267</v>
      </c>
      <c r="T15" s="165">
        <f>'МРСК 2'!E18</f>
        <v>7.5801446997514645</v>
      </c>
      <c r="U15" s="137">
        <f>'МРСК 2'!F18</f>
        <v>6.679</v>
      </c>
      <c r="V15" s="138">
        <f>'МРСК 2'!G18</f>
        <v>120</v>
      </c>
      <c r="W15" s="139">
        <f>'МРСК 2'!H18</f>
        <v>0.9011446997514643</v>
      </c>
      <c r="X15" s="139">
        <f>'МРСК 2'!I18</f>
        <v>0</v>
      </c>
      <c r="Y15" s="139">
        <f>'МРСК 2'!J18</f>
        <v>6.679</v>
      </c>
      <c r="Z15" s="140">
        <f>'МРСК 2'!K18</f>
        <v>-0.9011446997514643</v>
      </c>
      <c r="AA15" s="238">
        <f>MIN(Z15:Z17)</f>
        <v>-0.9011446997514643</v>
      </c>
      <c r="AB15" s="88"/>
    </row>
    <row r="16" spans="1:28" ht="20.25" thickBot="1">
      <c r="A16" s="14"/>
      <c r="B16" s="210" t="s">
        <v>59</v>
      </c>
      <c r="C16" s="8">
        <f>'МРСК 2'!C19</f>
        <v>12.5</v>
      </c>
      <c r="D16" s="8">
        <v>2171</v>
      </c>
      <c r="E16" s="8">
        <v>662</v>
      </c>
      <c r="F16" s="128">
        <f t="shared" si="0"/>
        <v>2.269688304591624</v>
      </c>
      <c r="G16" s="33">
        <v>2.022</v>
      </c>
      <c r="H16" s="47"/>
      <c r="I16" s="15">
        <f t="shared" si="2"/>
        <v>2.022</v>
      </c>
      <c r="J16" s="15">
        <v>0</v>
      </c>
      <c r="K16" s="31">
        <f t="shared" si="3"/>
        <v>2.022</v>
      </c>
      <c r="L16" s="46">
        <f t="shared" si="1"/>
        <v>-0.24768830459162405</v>
      </c>
      <c r="M16" s="236"/>
      <c r="N16" s="34"/>
      <c r="P16" s="14"/>
      <c r="Q16" s="210" t="s">
        <v>59</v>
      </c>
      <c r="R16" s="8">
        <f>'МРСК 2'!C19</f>
        <v>12.5</v>
      </c>
      <c r="S16" s="8">
        <f>'МРСК 2'!D19</f>
        <v>0</v>
      </c>
      <c r="T16" s="99">
        <f>'МРСК 2'!E19</f>
        <v>2.269688304591624</v>
      </c>
      <c r="U16" s="33">
        <f>'МРСК 2'!F19</f>
        <v>2.022</v>
      </c>
      <c r="V16" s="47">
        <f>'МРСК 2'!G19</f>
        <v>0</v>
      </c>
      <c r="W16" s="15">
        <f>'МРСК 2'!H19</f>
        <v>0.24768830459162405</v>
      </c>
      <c r="X16" s="15">
        <f>'МРСК 2'!I19</f>
        <v>0</v>
      </c>
      <c r="Y16" s="15">
        <f>'МРСК 2'!J19</f>
        <v>2.022</v>
      </c>
      <c r="Z16" s="46">
        <f>'МРСК 2'!K19</f>
        <v>-0.24768830459162405</v>
      </c>
      <c r="AA16" s="236"/>
      <c r="AB16" s="34"/>
    </row>
    <row r="17" spans="1:28" ht="20.25" thickBot="1">
      <c r="A17" s="74"/>
      <c r="B17" s="210" t="s">
        <v>60</v>
      </c>
      <c r="C17" s="75">
        <f>'МРСК 2'!C20</f>
        <v>12.5</v>
      </c>
      <c r="D17" s="75">
        <v>3865</v>
      </c>
      <c r="E17" s="75">
        <v>1188</v>
      </c>
      <c r="F17" s="128">
        <f t="shared" si="0"/>
        <v>4.043460028243138</v>
      </c>
      <c r="G17" s="77">
        <v>4.657</v>
      </c>
      <c r="H17" s="78"/>
      <c r="I17" s="79">
        <f t="shared" si="2"/>
        <v>4.657</v>
      </c>
      <c r="J17" s="79">
        <v>0</v>
      </c>
      <c r="K17" s="80">
        <f t="shared" si="3"/>
        <v>4.657</v>
      </c>
      <c r="L17" s="76">
        <f t="shared" si="1"/>
        <v>0.6135399717568619</v>
      </c>
      <c r="M17" s="237"/>
      <c r="N17" s="81"/>
      <c r="P17" s="74"/>
      <c r="Q17" s="210" t="s">
        <v>60</v>
      </c>
      <c r="R17" s="75">
        <f>'МРСК 2'!C20</f>
        <v>12.5</v>
      </c>
      <c r="S17" s="75">
        <f>'МРСК 2'!D20</f>
        <v>1.267</v>
      </c>
      <c r="T17" s="100">
        <f>'МРСК 2'!E20</f>
        <v>5.3104600282431385</v>
      </c>
      <c r="U17" s="77">
        <f>'МРСК 2'!F20</f>
        <v>4.657</v>
      </c>
      <c r="V17" s="78">
        <f>'МРСК 2'!G20</f>
        <v>0</v>
      </c>
      <c r="W17" s="79">
        <f>'МРСК 2'!H20</f>
        <v>0.6534600282431384</v>
      </c>
      <c r="X17" s="79">
        <f>'МРСК 2'!I20</f>
        <v>0</v>
      </c>
      <c r="Y17" s="79">
        <f>'МРСК 2'!J20</f>
        <v>4.657</v>
      </c>
      <c r="Z17" s="76">
        <f>'МРСК 2'!K20</f>
        <v>-0.6534600282431384</v>
      </c>
      <c r="AA17" s="237"/>
      <c r="AB17" s="81"/>
    </row>
    <row r="18" spans="1:28" ht="21" thickBot="1" thickTop="1">
      <c r="A18" s="9">
        <v>5</v>
      </c>
      <c r="B18" s="210" t="s">
        <v>64</v>
      </c>
      <c r="C18" s="10">
        <f>'МРСК 2'!C21</f>
        <v>16</v>
      </c>
      <c r="D18" s="10">
        <f>D19+D20</f>
        <v>2453</v>
      </c>
      <c r="E18" s="10">
        <f>E19+E20</f>
        <v>976</v>
      </c>
      <c r="F18" s="128">
        <f t="shared" si="0"/>
        <v>2.6400350376462813</v>
      </c>
      <c r="G18" s="36">
        <v>3.44</v>
      </c>
      <c r="H18" s="11">
        <v>120</v>
      </c>
      <c r="I18" s="12">
        <f t="shared" si="2"/>
        <v>3.44</v>
      </c>
      <c r="J18" s="12">
        <v>0</v>
      </c>
      <c r="K18" s="12">
        <f t="shared" si="3"/>
        <v>3.44</v>
      </c>
      <c r="L18" s="104">
        <f t="shared" si="1"/>
        <v>0.7999649623537186</v>
      </c>
      <c r="M18" s="235">
        <f>MIN(L18:L20)</f>
        <v>0.7999649623537186</v>
      </c>
      <c r="N18" s="41"/>
      <c r="P18" s="82">
        <v>5</v>
      </c>
      <c r="Q18" s="210" t="s">
        <v>64</v>
      </c>
      <c r="R18" s="84">
        <f>'МРСК 2'!C21</f>
        <v>16</v>
      </c>
      <c r="S18" s="84">
        <f>'МРСК 2'!D21</f>
        <v>0.709</v>
      </c>
      <c r="T18" s="101">
        <f>'МРСК 2'!E21</f>
        <v>3.3490350376462814</v>
      </c>
      <c r="U18" s="85">
        <f>'МРСК 2'!F21</f>
        <v>3.44</v>
      </c>
      <c r="V18" s="86">
        <f>'МРСК 2'!G21</f>
        <v>120</v>
      </c>
      <c r="W18" s="87">
        <f>'МРСК 2'!H21</f>
        <v>-0.09096496235371854</v>
      </c>
      <c r="X18" s="87">
        <f>'МРСК 2'!I21</f>
        <v>0</v>
      </c>
      <c r="Y18" s="87">
        <f>'МРСК 2'!J21</f>
        <v>3.44</v>
      </c>
      <c r="Z18" s="103">
        <f>'МРСК 2'!K21</f>
        <v>0.09096496235371854</v>
      </c>
      <c r="AA18" s="238">
        <v>0.7999649623537186</v>
      </c>
      <c r="AB18" s="88"/>
    </row>
    <row r="19" spans="1:28" ht="20.25" thickBot="1">
      <c r="A19" s="14"/>
      <c r="B19" s="210" t="s">
        <v>59</v>
      </c>
      <c r="C19" s="8">
        <f>'МРСК 2'!C22</f>
        <v>16</v>
      </c>
      <c r="D19" s="8">
        <v>2</v>
      </c>
      <c r="E19" s="8">
        <v>34</v>
      </c>
      <c r="F19" s="128">
        <f t="shared" si="0"/>
        <v>0.03405877273185281</v>
      </c>
      <c r="G19" s="33">
        <v>4</v>
      </c>
      <c r="H19" s="47"/>
      <c r="I19" s="15">
        <f t="shared" si="2"/>
        <v>4</v>
      </c>
      <c r="J19" s="15">
        <v>0</v>
      </c>
      <c r="K19" s="31">
        <f t="shared" si="3"/>
        <v>4</v>
      </c>
      <c r="L19" s="46">
        <f t="shared" si="1"/>
        <v>3.9659412272681474</v>
      </c>
      <c r="M19" s="236"/>
      <c r="N19" s="34"/>
      <c r="P19" s="14"/>
      <c r="Q19" s="210" t="s">
        <v>59</v>
      </c>
      <c r="R19" s="8">
        <f>'МРСК 2'!C22</f>
        <v>16</v>
      </c>
      <c r="S19" s="8">
        <f>'МРСК 2'!D22</f>
        <v>0.614</v>
      </c>
      <c r="T19" s="99">
        <f>'МРСК 2'!E22</f>
        <v>0.6480587727318528</v>
      </c>
      <c r="U19" s="33">
        <f>'МРСК 2'!F22</f>
        <v>4</v>
      </c>
      <c r="V19" s="47">
        <f>'МРСК 2'!G22</f>
        <v>0</v>
      </c>
      <c r="W19" s="15">
        <f>'МРСК 2'!H22</f>
        <v>-3.3519412272681475</v>
      </c>
      <c r="X19" s="15">
        <f>'МРСК 2'!I22</f>
        <v>0</v>
      </c>
      <c r="Y19" s="15">
        <f>'МРСК 2'!J22</f>
        <v>4</v>
      </c>
      <c r="Z19" s="46">
        <f>'МРСК 2'!K22</f>
        <v>3.3519412272681475</v>
      </c>
      <c r="AA19" s="236"/>
      <c r="AB19" s="34"/>
    </row>
    <row r="20" spans="1:28" ht="20.25" thickBot="1">
      <c r="A20" s="17"/>
      <c r="B20" s="210" t="s">
        <v>60</v>
      </c>
      <c r="C20" s="18">
        <f>'МРСК 2'!C23</f>
        <v>16</v>
      </c>
      <c r="D20" s="18">
        <v>2451</v>
      </c>
      <c r="E20" s="18">
        <v>942</v>
      </c>
      <c r="F20" s="128">
        <f t="shared" si="0"/>
        <v>2.6257884530174933</v>
      </c>
      <c r="G20" s="72">
        <v>3.44</v>
      </c>
      <c r="H20" s="19"/>
      <c r="I20" s="21">
        <f t="shared" si="2"/>
        <v>3.44</v>
      </c>
      <c r="J20" s="21">
        <v>0</v>
      </c>
      <c r="K20" s="73">
        <f t="shared" si="3"/>
        <v>3.44</v>
      </c>
      <c r="L20" s="20">
        <f t="shared" si="1"/>
        <v>0.8142115469825066</v>
      </c>
      <c r="M20" s="240"/>
      <c r="N20" s="35"/>
      <c r="P20" s="74"/>
      <c r="Q20" s="210" t="s">
        <v>60</v>
      </c>
      <c r="R20" s="75">
        <f>'МРСК 2'!C23</f>
        <v>16</v>
      </c>
      <c r="S20" s="75">
        <f>'МРСК 2'!D23</f>
        <v>0.095</v>
      </c>
      <c r="T20" s="100">
        <f>'МРСК 2'!E23</f>
        <v>2.7207884530174935</v>
      </c>
      <c r="U20" s="77">
        <f>'МРСК 2'!F23</f>
        <v>3.44</v>
      </c>
      <c r="V20" s="78">
        <f>'МРСК 2'!G23</f>
        <v>0</v>
      </c>
      <c r="W20" s="79">
        <f>'МРСК 2'!H23</f>
        <v>-0.7192115469825064</v>
      </c>
      <c r="X20" s="79">
        <f>'МРСК 2'!I23</f>
        <v>0</v>
      </c>
      <c r="Y20" s="79">
        <f>'МРСК 2'!J23</f>
        <v>3.44</v>
      </c>
      <c r="Z20" s="76">
        <f>'МРСК 2'!K23</f>
        <v>0.7192115469825064</v>
      </c>
      <c r="AA20" s="237"/>
      <c r="AB20" s="81"/>
    </row>
    <row r="21" spans="1:28" ht="21" thickBot="1" thickTop="1">
      <c r="A21" s="82">
        <v>6</v>
      </c>
      <c r="B21" s="210" t="s">
        <v>65</v>
      </c>
      <c r="C21" s="84">
        <f>'МРСК 2'!C24</f>
        <v>10</v>
      </c>
      <c r="D21" s="84">
        <f>D22+D23</f>
        <v>1181</v>
      </c>
      <c r="E21" s="84">
        <f>E22+E23</f>
        <v>534</v>
      </c>
      <c r="F21" s="128">
        <f t="shared" si="0"/>
        <v>1.2961161213409855</v>
      </c>
      <c r="G21" s="85">
        <v>1.78</v>
      </c>
      <c r="H21" s="86">
        <v>45</v>
      </c>
      <c r="I21" s="87">
        <f t="shared" si="2"/>
        <v>1.78</v>
      </c>
      <c r="J21" s="87">
        <v>0</v>
      </c>
      <c r="K21" s="87">
        <f t="shared" si="3"/>
        <v>1.78</v>
      </c>
      <c r="L21" s="103">
        <f t="shared" si="1"/>
        <v>0.4838838786590145</v>
      </c>
      <c r="M21" s="238">
        <f>MIN(L21:L23)</f>
        <v>0</v>
      </c>
      <c r="N21" s="88"/>
      <c r="P21" s="82">
        <v>6</v>
      </c>
      <c r="Q21" s="210" t="s">
        <v>65</v>
      </c>
      <c r="R21" s="84">
        <f>'МРСК 2'!C24</f>
        <v>10</v>
      </c>
      <c r="S21" s="84">
        <f>'МРСК 2'!D24</f>
        <v>0</v>
      </c>
      <c r="T21" s="101">
        <f>'МРСК 2'!E24</f>
        <v>1.2961161213409855</v>
      </c>
      <c r="U21" s="85">
        <f>'МРСК 2'!F24</f>
        <v>1.78</v>
      </c>
      <c r="V21" s="86">
        <f>'МРСК 2'!G24</f>
        <v>45</v>
      </c>
      <c r="W21" s="87">
        <f>'МРСК 2'!H24</f>
        <v>-0.4838838786590145</v>
      </c>
      <c r="X21" s="87">
        <f>'МРСК 2'!I24</f>
        <v>0</v>
      </c>
      <c r="Y21" s="87">
        <f>'МРСК 2'!J24</f>
        <v>1.78</v>
      </c>
      <c r="Z21" s="103">
        <f>'МРСК 2'!K24</f>
        <v>0.4838838786590145</v>
      </c>
      <c r="AA21" s="238">
        <v>0</v>
      </c>
      <c r="AB21" s="88"/>
    </row>
    <row r="22" spans="1:28" ht="20.25" thickBot="1">
      <c r="A22" s="14"/>
      <c r="B22" s="210" t="s">
        <v>59</v>
      </c>
      <c r="C22" s="8">
        <f>'МРСК 2'!C25</f>
        <v>10</v>
      </c>
      <c r="D22" s="8">
        <v>0</v>
      </c>
      <c r="E22" s="8">
        <v>0</v>
      </c>
      <c r="F22" s="128">
        <f t="shared" si="0"/>
        <v>0</v>
      </c>
      <c r="G22" s="33">
        <v>0</v>
      </c>
      <c r="H22" s="47"/>
      <c r="I22" s="15">
        <f t="shared" si="2"/>
        <v>0</v>
      </c>
      <c r="J22" s="15">
        <v>0</v>
      </c>
      <c r="K22" s="31">
        <f t="shared" si="3"/>
        <v>0</v>
      </c>
      <c r="L22" s="46">
        <f t="shared" si="1"/>
        <v>0</v>
      </c>
      <c r="M22" s="236"/>
      <c r="N22" s="34"/>
      <c r="P22" s="14"/>
      <c r="Q22" s="210" t="s">
        <v>59</v>
      </c>
      <c r="R22" s="8">
        <f>'МРСК 2'!C25</f>
        <v>10</v>
      </c>
      <c r="S22" s="8">
        <f>'МРСК 2'!D25</f>
        <v>0</v>
      </c>
      <c r="T22" s="99">
        <f>'МРСК 2'!E25</f>
        <v>0</v>
      </c>
      <c r="U22" s="33">
        <f>'МРСК 2'!F25</f>
        <v>0</v>
      </c>
      <c r="V22" s="47">
        <f>'МРСК 2'!G25</f>
        <v>0</v>
      </c>
      <c r="W22" s="15">
        <f>'МРСК 2'!H25</f>
        <v>0</v>
      </c>
      <c r="X22" s="15">
        <f>'МРСК 2'!I25</f>
        <v>0</v>
      </c>
      <c r="Y22" s="15">
        <f>'МРСК 2'!J25</f>
        <v>0</v>
      </c>
      <c r="Z22" s="46">
        <f>'МРСК 2'!K25</f>
        <v>0</v>
      </c>
      <c r="AA22" s="236"/>
      <c r="AB22" s="34"/>
    </row>
    <row r="23" spans="1:28" ht="20.25" thickBot="1">
      <c r="A23" s="74"/>
      <c r="B23" s="210" t="s">
        <v>66</v>
      </c>
      <c r="C23" s="75">
        <f>'МРСК 2'!C26</f>
        <v>10</v>
      </c>
      <c r="D23" s="75">
        <v>1181</v>
      </c>
      <c r="E23" s="75">
        <v>534</v>
      </c>
      <c r="F23" s="128">
        <f t="shared" si="0"/>
        <v>1.2961161213409855</v>
      </c>
      <c r="G23" s="77">
        <v>1.78</v>
      </c>
      <c r="H23" s="78"/>
      <c r="I23" s="79">
        <f t="shared" si="2"/>
        <v>1.78</v>
      </c>
      <c r="J23" s="79">
        <v>0</v>
      </c>
      <c r="K23" s="80">
        <f t="shared" si="3"/>
        <v>1.78</v>
      </c>
      <c r="L23" s="76">
        <f t="shared" si="1"/>
        <v>0.4838838786590145</v>
      </c>
      <c r="M23" s="237"/>
      <c r="N23" s="81"/>
      <c r="P23" s="74"/>
      <c r="Q23" s="210" t="s">
        <v>66</v>
      </c>
      <c r="R23" s="75">
        <f>'МРСК 2'!C26</f>
        <v>10</v>
      </c>
      <c r="S23" s="75">
        <f>'МРСК 2'!D26</f>
        <v>0</v>
      </c>
      <c r="T23" s="100">
        <f>'МРСК 2'!E26</f>
        <v>1.2961161213409855</v>
      </c>
      <c r="U23" s="77">
        <f>'МРСК 2'!F26</f>
        <v>1.78</v>
      </c>
      <c r="V23" s="78">
        <f>'МРСК 2'!G26</f>
        <v>0</v>
      </c>
      <c r="W23" s="79">
        <f>'МРСК 2'!H26</f>
        <v>-0.4838838786590145</v>
      </c>
      <c r="X23" s="79">
        <f>'МРСК 2'!I26</f>
        <v>0</v>
      </c>
      <c r="Y23" s="79">
        <f>'МРСК 2'!J26</f>
        <v>1.78</v>
      </c>
      <c r="Z23" s="76">
        <f>'МРСК 2'!K26</f>
        <v>0.4838838786590145</v>
      </c>
      <c r="AA23" s="237"/>
      <c r="AB23" s="81"/>
    </row>
    <row r="24" spans="1:28" ht="21" thickBot="1" thickTop="1">
      <c r="A24" s="166">
        <v>7</v>
      </c>
      <c r="B24" s="209" t="s">
        <v>67</v>
      </c>
      <c r="C24" s="145">
        <f>'МРСК 2'!C27</f>
        <v>1.6</v>
      </c>
      <c r="D24" s="145">
        <v>868</v>
      </c>
      <c r="E24" s="145">
        <v>280</v>
      </c>
      <c r="F24" s="119">
        <f t="shared" si="0"/>
        <v>0.9120438585945305</v>
      </c>
      <c r="G24" s="146">
        <v>0.6464</v>
      </c>
      <c r="H24" s="147">
        <v>45</v>
      </c>
      <c r="I24" s="146">
        <f t="shared" si="2"/>
        <v>0.6464</v>
      </c>
      <c r="J24" s="146">
        <v>0</v>
      </c>
      <c r="K24" s="144">
        <f t="shared" si="3"/>
        <v>0.6464</v>
      </c>
      <c r="L24" s="148">
        <f t="shared" si="1"/>
        <v>-0.26564385859453055</v>
      </c>
      <c r="M24" s="46">
        <f>L24</f>
        <v>-0.26564385859453055</v>
      </c>
      <c r="N24" s="34"/>
      <c r="P24" s="14">
        <v>7</v>
      </c>
      <c r="Q24" s="209" t="s">
        <v>67</v>
      </c>
      <c r="R24" s="155">
        <f>'МРСК 2'!C27</f>
        <v>1.6</v>
      </c>
      <c r="S24" s="155">
        <f>'МРСК 2'!D27</f>
        <v>0</v>
      </c>
      <c r="T24" s="167">
        <f>'МРСК 2'!E27</f>
        <v>0.9120438585945305</v>
      </c>
      <c r="U24" s="146">
        <f>'МРСК 2'!F27</f>
        <v>0.6464</v>
      </c>
      <c r="V24" s="147">
        <f>'МРСК 2'!G27</f>
        <v>45</v>
      </c>
      <c r="W24" s="146">
        <f>'МРСК 2'!H27</f>
        <v>0.26564385859453055</v>
      </c>
      <c r="X24" s="146">
        <f>'МРСК 2'!I27</f>
        <v>0</v>
      </c>
      <c r="Y24" s="146">
        <f>'МРСК 2'!J27</f>
        <v>0.6464</v>
      </c>
      <c r="Z24" s="148">
        <f>'МРСК 2'!K27</f>
        <v>-0.26564385859453055</v>
      </c>
      <c r="AA24" s="46">
        <v>-0.26564385859453055</v>
      </c>
      <c r="AB24" s="34"/>
    </row>
    <row r="25" spans="1:28" ht="20.25" thickBot="1">
      <c r="A25" s="14">
        <v>8</v>
      </c>
      <c r="B25" s="210" t="s">
        <v>68</v>
      </c>
      <c r="C25" s="47">
        <f>'МРСК 2'!C28</f>
        <v>1.6</v>
      </c>
      <c r="D25" s="47">
        <v>576</v>
      </c>
      <c r="E25" s="47">
        <v>192</v>
      </c>
      <c r="F25" s="128">
        <f t="shared" si="0"/>
        <v>0.6071573107523288</v>
      </c>
      <c r="G25" s="15">
        <v>0.6835</v>
      </c>
      <c r="H25" s="16">
        <v>45</v>
      </c>
      <c r="I25" s="15">
        <f t="shared" si="2"/>
        <v>0.6835</v>
      </c>
      <c r="J25" s="15">
        <v>0</v>
      </c>
      <c r="K25" s="31">
        <f t="shared" si="3"/>
        <v>0.6835</v>
      </c>
      <c r="L25" s="46">
        <f t="shared" si="1"/>
        <v>0.07634268924767118</v>
      </c>
      <c r="M25" s="46">
        <f aca="true" t="shared" si="4" ref="M25:M46">L25</f>
        <v>0.07634268924767118</v>
      </c>
      <c r="N25" s="34"/>
      <c r="P25" s="14">
        <v>8</v>
      </c>
      <c r="Q25" s="210" t="s">
        <v>68</v>
      </c>
      <c r="R25" s="8">
        <f>'МРСК 2'!C28</f>
        <v>1.6</v>
      </c>
      <c r="S25" s="8">
        <f>'МРСК 2'!D28</f>
        <v>0</v>
      </c>
      <c r="T25" s="99">
        <f>'МРСК 2'!E28</f>
        <v>0.6071573107523288</v>
      </c>
      <c r="U25" s="15">
        <f>'МРСК 2'!F28</f>
        <v>0.6835</v>
      </c>
      <c r="V25" s="16">
        <f>'МРСК 2'!G28</f>
        <v>45</v>
      </c>
      <c r="W25" s="15">
        <f>'МРСК 2'!H28</f>
        <v>-0.07634268924767118</v>
      </c>
      <c r="X25" s="15">
        <f>'МРСК 2'!I28</f>
        <v>0</v>
      </c>
      <c r="Y25" s="15">
        <f>'МРСК 2'!J28</f>
        <v>0.6835</v>
      </c>
      <c r="Z25" s="46">
        <f>'МРСК 2'!K28</f>
        <v>0.07634268924767118</v>
      </c>
      <c r="AA25" s="46">
        <v>0.07634268924767118</v>
      </c>
      <c r="AB25" s="34"/>
    </row>
    <row r="26" spans="1:28" ht="20.25" thickBot="1">
      <c r="A26" s="166">
        <v>9</v>
      </c>
      <c r="B26" s="209" t="s">
        <v>69</v>
      </c>
      <c r="C26" s="145">
        <f>'МРСК 2'!C29</f>
        <v>1.6</v>
      </c>
      <c r="D26" s="145">
        <v>432</v>
      </c>
      <c r="E26" s="145">
        <v>234</v>
      </c>
      <c r="F26" s="119">
        <f t="shared" si="0"/>
        <v>0.4913043863024225</v>
      </c>
      <c r="G26" s="146">
        <v>0</v>
      </c>
      <c r="H26" s="147">
        <v>20</v>
      </c>
      <c r="I26" s="146">
        <f t="shared" si="2"/>
        <v>0</v>
      </c>
      <c r="J26" s="146">
        <v>0</v>
      </c>
      <c r="K26" s="144">
        <f t="shared" si="3"/>
        <v>0</v>
      </c>
      <c r="L26" s="148">
        <f t="shared" si="1"/>
        <v>-0.4913043863024225</v>
      </c>
      <c r="M26" s="46">
        <f t="shared" si="4"/>
        <v>-0.4913043863024225</v>
      </c>
      <c r="N26" s="34"/>
      <c r="P26" s="14">
        <v>9</v>
      </c>
      <c r="Q26" s="209" t="s">
        <v>69</v>
      </c>
      <c r="R26" s="155">
        <f>'МРСК 2'!C29</f>
        <v>1.6</v>
      </c>
      <c r="S26" s="155">
        <f>'МРСК 2'!D29</f>
        <v>2.083</v>
      </c>
      <c r="T26" s="167">
        <f>'МРСК 2'!E29</f>
        <v>2.5743043863024226</v>
      </c>
      <c r="U26" s="146">
        <f>'МРСК 2'!F29</f>
        <v>0</v>
      </c>
      <c r="V26" s="147">
        <f>'МРСК 2'!G29</f>
        <v>20</v>
      </c>
      <c r="W26" s="146">
        <f>'МРСК 2'!H29</f>
        <v>2.5743043863024226</v>
      </c>
      <c r="X26" s="146">
        <f>'МРСК 2'!I29</f>
        <v>0</v>
      </c>
      <c r="Y26" s="146">
        <f>'МРСК 2'!J29</f>
        <v>0</v>
      </c>
      <c r="Z26" s="148">
        <f>'МРСК 2'!K29</f>
        <v>-2.5743043863024226</v>
      </c>
      <c r="AA26" s="46">
        <v>-0.8813043863024226</v>
      </c>
      <c r="AB26" s="34"/>
    </row>
    <row r="27" spans="1:28" ht="20.25" thickBot="1">
      <c r="A27" s="166">
        <v>10</v>
      </c>
      <c r="B27" s="209" t="s">
        <v>70</v>
      </c>
      <c r="C27" s="145">
        <f>'МРСК 2'!C30</f>
        <v>4</v>
      </c>
      <c r="D27" s="145">
        <v>3792</v>
      </c>
      <c r="E27" s="145">
        <v>1440</v>
      </c>
      <c r="F27" s="119">
        <f t="shared" si="0"/>
        <v>4.0562130121580156</v>
      </c>
      <c r="G27" s="146">
        <v>2.64</v>
      </c>
      <c r="H27" s="147">
        <v>80</v>
      </c>
      <c r="I27" s="146">
        <f t="shared" si="2"/>
        <v>2.64</v>
      </c>
      <c r="J27" s="146">
        <v>0</v>
      </c>
      <c r="K27" s="144">
        <f t="shared" si="3"/>
        <v>2.64</v>
      </c>
      <c r="L27" s="148">
        <f t="shared" si="1"/>
        <v>-1.4162130121580154</v>
      </c>
      <c r="M27" s="46">
        <f t="shared" si="4"/>
        <v>-1.4162130121580154</v>
      </c>
      <c r="N27" s="34"/>
      <c r="P27" s="14">
        <v>10</v>
      </c>
      <c r="Q27" s="209" t="s">
        <v>70</v>
      </c>
      <c r="R27" s="155">
        <f>'МРСК 2'!C30</f>
        <v>4</v>
      </c>
      <c r="S27" s="155">
        <f>'МРСК 2'!D30</f>
        <v>0.28</v>
      </c>
      <c r="T27" s="167">
        <f>'МРСК 2'!E30</f>
        <v>4.336213012158016</v>
      </c>
      <c r="U27" s="146">
        <f>'МРСК 2'!F30</f>
        <v>2.64</v>
      </c>
      <c r="V27" s="147">
        <f>'МРСК 2'!G30</f>
        <v>80</v>
      </c>
      <c r="W27" s="146">
        <f>'МРСК 2'!H30</f>
        <v>1.6962130121580157</v>
      </c>
      <c r="X27" s="146">
        <f>'МРСК 2'!I30</f>
        <v>0</v>
      </c>
      <c r="Y27" s="146">
        <f>'МРСК 2'!J30</f>
        <v>2.64</v>
      </c>
      <c r="Z27" s="148">
        <f>'МРСК 2'!K30</f>
        <v>-1.6962130121580157</v>
      </c>
      <c r="AA27" s="46">
        <v>-1.4162130121580154</v>
      </c>
      <c r="AB27" s="34"/>
    </row>
    <row r="28" spans="1:28" ht="20.25" thickBot="1">
      <c r="A28" s="14">
        <v>11</v>
      </c>
      <c r="B28" s="210" t="s">
        <v>71</v>
      </c>
      <c r="C28" s="47">
        <f>'МРСК 2'!C31</f>
        <v>1.6</v>
      </c>
      <c r="D28" s="47">
        <v>606</v>
      </c>
      <c r="E28" s="47">
        <v>264</v>
      </c>
      <c r="F28" s="128">
        <f t="shared" si="0"/>
        <v>0.6610083206738021</v>
      </c>
      <c r="G28" s="15">
        <v>1.05</v>
      </c>
      <c r="H28" s="16">
        <v>80</v>
      </c>
      <c r="I28" s="15">
        <f t="shared" si="2"/>
        <v>1.05</v>
      </c>
      <c r="J28" s="15">
        <v>0</v>
      </c>
      <c r="K28" s="31">
        <f t="shared" si="3"/>
        <v>1.05</v>
      </c>
      <c r="L28" s="46">
        <f t="shared" si="1"/>
        <v>0.38899167932619794</v>
      </c>
      <c r="M28" s="46">
        <f t="shared" si="4"/>
        <v>0.38899167932619794</v>
      </c>
      <c r="N28" s="34"/>
      <c r="P28" s="14">
        <v>11</v>
      </c>
      <c r="Q28" s="210" t="s">
        <v>71</v>
      </c>
      <c r="R28" s="8">
        <f>'МРСК 2'!C31</f>
        <v>1.6</v>
      </c>
      <c r="S28" s="8">
        <f>'МРСК 2'!D31</f>
        <v>0</v>
      </c>
      <c r="T28" s="99">
        <f>'МРСК 2'!E31</f>
        <v>0.6610083206738021</v>
      </c>
      <c r="U28" s="15">
        <f>'МРСК 2'!F31</f>
        <v>1.05</v>
      </c>
      <c r="V28" s="16">
        <f>'МРСК 2'!G31</f>
        <v>80</v>
      </c>
      <c r="W28" s="15">
        <f>'МРСК 2'!H31</f>
        <v>-0.38899167932619794</v>
      </c>
      <c r="X28" s="15">
        <f>'МРСК 2'!I31</f>
        <v>0</v>
      </c>
      <c r="Y28" s="15">
        <f>'МРСК 2'!J31</f>
        <v>1.05</v>
      </c>
      <c r="Z28" s="46">
        <f>'МРСК 2'!K31</f>
        <v>0.38899167932619794</v>
      </c>
      <c r="AA28" s="46">
        <v>0.38899167932619794</v>
      </c>
      <c r="AB28" s="34"/>
    </row>
    <row r="29" spans="1:28" ht="20.25" thickBot="1">
      <c r="A29" s="166">
        <v>12</v>
      </c>
      <c r="B29" s="209" t="s">
        <v>72</v>
      </c>
      <c r="C29" s="145">
        <f>'МРСК 2'!C32</f>
        <v>1.6</v>
      </c>
      <c r="D29" s="145">
        <v>14</v>
      </c>
      <c r="E29" s="145">
        <v>14</v>
      </c>
      <c r="F29" s="119">
        <f t="shared" si="0"/>
        <v>0.01979898987322333</v>
      </c>
      <c r="G29" s="146">
        <v>0</v>
      </c>
      <c r="H29" s="147"/>
      <c r="I29" s="146">
        <f t="shared" si="2"/>
        <v>0</v>
      </c>
      <c r="J29" s="146">
        <v>0</v>
      </c>
      <c r="K29" s="144">
        <f t="shared" si="3"/>
        <v>0</v>
      </c>
      <c r="L29" s="148">
        <f t="shared" si="1"/>
        <v>-0.01979898987322333</v>
      </c>
      <c r="M29" s="46">
        <f t="shared" si="4"/>
        <v>-0.01979898987322333</v>
      </c>
      <c r="N29" s="34"/>
      <c r="P29" s="14">
        <v>12</v>
      </c>
      <c r="Q29" s="209" t="s">
        <v>72</v>
      </c>
      <c r="R29" s="155">
        <f>'МРСК 2'!C32</f>
        <v>1.6</v>
      </c>
      <c r="S29" s="155">
        <f>'МРСК 2'!D32</f>
        <v>0.185</v>
      </c>
      <c r="T29" s="167">
        <f>'МРСК 2'!E32</f>
        <v>0.2047989898732233</v>
      </c>
      <c r="U29" s="146">
        <f>'МРСК 2'!F32</f>
        <v>0</v>
      </c>
      <c r="V29" s="147">
        <f>'МРСК 2'!G32</f>
        <v>0</v>
      </c>
      <c r="W29" s="146">
        <f>'МРСК 2'!H32</f>
        <v>0.2047989898732233</v>
      </c>
      <c r="X29" s="146">
        <f>'МРСК 2'!I32</f>
        <v>0</v>
      </c>
      <c r="Y29" s="146">
        <f>'МРСК 2'!J32</f>
        <v>0</v>
      </c>
      <c r="Z29" s="148">
        <f>'МРСК 2'!K32</f>
        <v>-0.2047989898732233</v>
      </c>
      <c r="AA29" s="46">
        <v>-0.01979898987322333</v>
      </c>
      <c r="AB29" s="34"/>
    </row>
    <row r="30" spans="1:28" ht="20.25" thickBot="1">
      <c r="A30" s="166">
        <v>13</v>
      </c>
      <c r="B30" s="209" t="s">
        <v>73</v>
      </c>
      <c r="C30" s="145">
        <f>'МРСК 2'!C33</f>
        <v>2.5</v>
      </c>
      <c r="D30" s="145">
        <v>360</v>
      </c>
      <c r="E30" s="145">
        <v>112</v>
      </c>
      <c r="F30" s="119">
        <f t="shared" si="0"/>
        <v>0.3770198933743417</v>
      </c>
      <c r="G30" s="146">
        <v>0</v>
      </c>
      <c r="H30" s="147"/>
      <c r="I30" s="146">
        <f t="shared" si="2"/>
        <v>0</v>
      </c>
      <c r="J30" s="146">
        <v>0</v>
      </c>
      <c r="K30" s="144">
        <f t="shared" si="3"/>
        <v>0</v>
      </c>
      <c r="L30" s="148">
        <f t="shared" si="1"/>
        <v>-0.3770198933743417</v>
      </c>
      <c r="M30" s="46">
        <f t="shared" si="4"/>
        <v>-0.3770198933743417</v>
      </c>
      <c r="N30" s="34"/>
      <c r="P30" s="14">
        <v>13</v>
      </c>
      <c r="Q30" s="209" t="s">
        <v>73</v>
      </c>
      <c r="R30" s="155">
        <f>'МРСК 2'!C33</f>
        <v>2.5</v>
      </c>
      <c r="S30" s="155">
        <f>'МРСК 2'!D33</f>
        <v>0</v>
      </c>
      <c r="T30" s="167">
        <f>'МРСК 2'!E33</f>
        <v>0.3770198933743417</v>
      </c>
      <c r="U30" s="146">
        <f>'МРСК 2'!F33</f>
        <v>0</v>
      </c>
      <c r="V30" s="147">
        <f>'МРСК 2'!G33</f>
        <v>0</v>
      </c>
      <c r="W30" s="146">
        <f>'МРСК 2'!H33</f>
        <v>0.3770198933743417</v>
      </c>
      <c r="X30" s="146">
        <f>'МРСК 2'!I33</f>
        <v>0</v>
      </c>
      <c r="Y30" s="146">
        <f>'МРСК 2'!J33</f>
        <v>0</v>
      </c>
      <c r="Z30" s="148">
        <f>'МРСК 2'!K33</f>
        <v>-0.3770198933743417</v>
      </c>
      <c r="AA30" s="46">
        <v>-0.3770198933743417</v>
      </c>
      <c r="AB30" s="34"/>
    </row>
    <row r="31" spans="1:28" ht="20.25" thickBot="1">
      <c r="A31" s="166">
        <v>14</v>
      </c>
      <c r="B31" s="209" t="s">
        <v>74</v>
      </c>
      <c r="C31" s="145">
        <f>'МРСК 2'!C34</f>
        <v>2.5</v>
      </c>
      <c r="D31" s="145">
        <v>992</v>
      </c>
      <c r="E31" s="145">
        <v>392</v>
      </c>
      <c r="F31" s="119">
        <f t="shared" si="0"/>
        <v>1.0666433330781195</v>
      </c>
      <c r="G31" s="146">
        <v>0.541</v>
      </c>
      <c r="H31" s="147">
        <v>45</v>
      </c>
      <c r="I31" s="146">
        <f t="shared" si="2"/>
        <v>0.541</v>
      </c>
      <c r="J31" s="146">
        <v>0</v>
      </c>
      <c r="K31" s="144">
        <f t="shared" si="3"/>
        <v>0.541</v>
      </c>
      <c r="L31" s="148">
        <f t="shared" si="1"/>
        <v>-0.5256433330781195</v>
      </c>
      <c r="M31" s="46">
        <f t="shared" si="4"/>
        <v>-0.5256433330781195</v>
      </c>
      <c r="N31" s="34"/>
      <c r="P31" s="14">
        <v>14</v>
      </c>
      <c r="Q31" s="209" t="s">
        <v>74</v>
      </c>
      <c r="R31" s="155">
        <f>'МРСК 2'!C34</f>
        <v>2.5</v>
      </c>
      <c r="S31" s="155">
        <f>'МРСК 2'!D34</f>
        <v>0</v>
      </c>
      <c r="T31" s="167">
        <f>'МРСК 2'!E34</f>
        <v>1.0666433330781195</v>
      </c>
      <c r="U31" s="146">
        <f>'МРСК 2'!F34</f>
        <v>0.541</v>
      </c>
      <c r="V31" s="147">
        <f>'МРСК 2'!G34</f>
        <v>45</v>
      </c>
      <c r="W31" s="146">
        <f>'МРСК 2'!H34</f>
        <v>0.5256433330781195</v>
      </c>
      <c r="X31" s="146">
        <f>'МРСК 2'!I34</f>
        <v>0</v>
      </c>
      <c r="Y31" s="146">
        <f>'МРСК 2'!J34</f>
        <v>0.541</v>
      </c>
      <c r="Z31" s="148">
        <f>'МРСК 2'!K34</f>
        <v>-0.5256433330781195</v>
      </c>
      <c r="AA31" s="46">
        <v>-0.5256433330781195</v>
      </c>
      <c r="AB31" s="34"/>
    </row>
    <row r="32" spans="1:28" ht="20.25" thickBot="1">
      <c r="A32" s="166">
        <v>15</v>
      </c>
      <c r="B32" s="209" t="s">
        <v>75</v>
      </c>
      <c r="C32" s="145">
        <f>'МРСК 2'!C35</f>
        <v>2.5</v>
      </c>
      <c r="D32" s="145">
        <v>2000</v>
      </c>
      <c r="E32" s="145">
        <v>624</v>
      </c>
      <c r="F32" s="119">
        <f t="shared" si="0"/>
        <v>2.095083769208286</v>
      </c>
      <c r="G32" s="146">
        <v>1.6626</v>
      </c>
      <c r="H32" s="147">
        <v>45</v>
      </c>
      <c r="I32" s="146">
        <f t="shared" si="2"/>
        <v>1.6626</v>
      </c>
      <c r="J32" s="146">
        <v>0</v>
      </c>
      <c r="K32" s="144">
        <f t="shared" si="3"/>
        <v>1.6626</v>
      </c>
      <c r="L32" s="148">
        <f t="shared" si="1"/>
        <v>-0.43248376920828613</v>
      </c>
      <c r="M32" s="46">
        <f t="shared" si="4"/>
        <v>-0.43248376920828613</v>
      </c>
      <c r="N32" s="34"/>
      <c r="P32" s="14">
        <v>15</v>
      </c>
      <c r="Q32" s="209" t="s">
        <v>75</v>
      </c>
      <c r="R32" s="155">
        <f>'МРСК 2'!C35</f>
        <v>2.5</v>
      </c>
      <c r="S32" s="155">
        <f>'МРСК 2'!D35</f>
        <v>0.025</v>
      </c>
      <c r="T32" s="167">
        <f>'МРСК 2'!E35</f>
        <v>2.120083769208286</v>
      </c>
      <c r="U32" s="146">
        <f>'МРСК 2'!F35</f>
        <v>1.6626</v>
      </c>
      <c r="V32" s="147">
        <f>'МРСК 2'!G35</f>
        <v>45</v>
      </c>
      <c r="W32" s="146">
        <f>'МРСК 2'!H35</f>
        <v>0.45748376920828604</v>
      </c>
      <c r="X32" s="146">
        <f>'МРСК 2'!I35</f>
        <v>0</v>
      </c>
      <c r="Y32" s="146">
        <f>'МРСК 2'!J35</f>
        <v>1.6626</v>
      </c>
      <c r="Z32" s="148">
        <f>'МРСК 2'!K35</f>
        <v>-0.45748376920828604</v>
      </c>
      <c r="AA32" s="46">
        <v>-0.43248376920828613</v>
      </c>
      <c r="AB32" s="34"/>
    </row>
    <row r="33" spans="1:28" ht="20.25" thickBot="1">
      <c r="A33" s="166">
        <v>16</v>
      </c>
      <c r="B33" s="209" t="s">
        <v>76</v>
      </c>
      <c r="C33" s="145">
        <f>'МРСК 2'!C36</f>
        <v>2.5</v>
      </c>
      <c r="D33" s="145">
        <v>1584</v>
      </c>
      <c r="E33" s="145">
        <v>492</v>
      </c>
      <c r="F33" s="119">
        <f t="shared" si="0"/>
        <v>1.6586500535073696</v>
      </c>
      <c r="G33" s="146">
        <v>1.55</v>
      </c>
      <c r="H33" s="147">
        <v>45</v>
      </c>
      <c r="I33" s="146">
        <f t="shared" si="2"/>
        <v>1.55</v>
      </c>
      <c r="J33" s="146">
        <v>0</v>
      </c>
      <c r="K33" s="144">
        <f t="shared" si="3"/>
        <v>1.55</v>
      </c>
      <c r="L33" s="148">
        <f t="shared" si="1"/>
        <v>-0.10865005350736956</v>
      </c>
      <c r="M33" s="46">
        <f t="shared" si="4"/>
        <v>-0.10865005350736956</v>
      </c>
      <c r="N33" s="34"/>
      <c r="P33" s="14">
        <v>16</v>
      </c>
      <c r="Q33" s="209" t="s">
        <v>76</v>
      </c>
      <c r="R33" s="155">
        <f>'МРСК 2'!C36</f>
        <v>2.5</v>
      </c>
      <c r="S33" s="155">
        <f>'МРСК 2'!D36</f>
        <v>0</v>
      </c>
      <c r="T33" s="167">
        <f>'МРСК 2'!E36</f>
        <v>1.6586500535073696</v>
      </c>
      <c r="U33" s="146">
        <f>'МРСК 2'!F36</f>
        <v>1.55</v>
      </c>
      <c r="V33" s="147">
        <f>'МРСК 2'!G36</f>
        <v>45</v>
      </c>
      <c r="W33" s="146">
        <f>'МРСК 2'!H36</f>
        <v>0.10865005350736956</v>
      </c>
      <c r="X33" s="146">
        <f>'МРСК 2'!I36</f>
        <v>0</v>
      </c>
      <c r="Y33" s="146">
        <f>'МРСК 2'!J36</f>
        <v>1.55</v>
      </c>
      <c r="Z33" s="148">
        <f>'МРСК 2'!K36</f>
        <v>-0.10865005350736956</v>
      </c>
      <c r="AA33" s="46">
        <v>-0.10865005350736956</v>
      </c>
      <c r="AB33" s="34"/>
    </row>
    <row r="34" spans="1:28" ht="20.25" thickBot="1">
      <c r="A34" s="166">
        <v>17</v>
      </c>
      <c r="B34" s="209" t="s">
        <v>77</v>
      </c>
      <c r="C34" s="145">
        <f>'МРСК 2'!C37</f>
        <v>1.6</v>
      </c>
      <c r="D34" s="145">
        <v>384</v>
      </c>
      <c r="E34" s="145">
        <v>144</v>
      </c>
      <c r="F34" s="119">
        <f t="shared" si="0"/>
        <v>0.4101121797752415</v>
      </c>
      <c r="G34" s="146">
        <v>0.4101</v>
      </c>
      <c r="H34" s="147">
        <v>80</v>
      </c>
      <c r="I34" s="146">
        <f t="shared" si="2"/>
        <v>0.4101</v>
      </c>
      <c r="J34" s="146">
        <v>0</v>
      </c>
      <c r="K34" s="144">
        <f t="shared" si="3"/>
        <v>0.4101</v>
      </c>
      <c r="L34" s="148">
        <f t="shared" si="1"/>
        <v>-1.217977524148317E-05</v>
      </c>
      <c r="M34" s="46">
        <f t="shared" si="4"/>
        <v>-1.217977524148317E-05</v>
      </c>
      <c r="N34" s="34"/>
      <c r="P34" s="14">
        <v>17</v>
      </c>
      <c r="Q34" s="209" t="s">
        <v>77</v>
      </c>
      <c r="R34" s="155">
        <f>'МРСК 2'!C37</f>
        <v>1.6</v>
      </c>
      <c r="S34" s="155">
        <f>'МРСК 2'!D37</f>
        <v>0</v>
      </c>
      <c r="T34" s="167">
        <f>'МРСК 2'!E37</f>
        <v>0.4101121797752415</v>
      </c>
      <c r="U34" s="146">
        <f>'МРСК 2'!F37</f>
        <v>0.4101</v>
      </c>
      <c r="V34" s="147">
        <f>'МРСК 2'!G37</f>
        <v>80</v>
      </c>
      <c r="W34" s="146">
        <f>'МРСК 2'!H37</f>
        <v>1.217977524148317E-05</v>
      </c>
      <c r="X34" s="146">
        <f>'МРСК 2'!I37</f>
        <v>0</v>
      </c>
      <c r="Y34" s="146">
        <f>'МРСК 2'!J37</f>
        <v>0.4101</v>
      </c>
      <c r="Z34" s="148">
        <f>'МРСК 2'!K37</f>
        <v>-1.217977524148317E-05</v>
      </c>
      <c r="AA34" s="46">
        <v>-1.217977524148317E-05</v>
      </c>
      <c r="AB34" s="34"/>
    </row>
    <row r="35" spans="1:28" ht="20.25" thickBot="1">
      <c r="A35" s="166">
        <v>18</v>
      </c>
      <c r="B35" s="209" t="s">
        <v>78</v>
      </c>
      <c r="C35" s="145">
        <f>'МРСК 2'!C38</f>
        <v>2.5</v>
      </c>
      <c r="D35" s="145">
        <v>384</v>
      </c>
      <c r="E35" s="145">
        <v>160</v>
      </c>
      <c r="F35" s="119">
        <f t="shared" si="0"/>
        <v>0.416</v>
      </c>
      <c r="G35" s="146">
        <v>0.407</v>
      </c>
      <c r="H35" s="147">
        <v>20</v>
      </c>
      <c r="I35" s="146">
        <f t="shared" si="2"/>
        <v>0.407</v>
      </c>
      <c r="J35" s="146">
        <v>0</v>
      </c>
      <c r="K35" s="144">
        <f t="shared" si="3"/>
        <v>0.407</v>
      </c>
      <c r="L35" s="148">
        <f t="shared" si="1"/>
        <v>-0.009000000000000008</v>
      </c>
      <c r="M35" s="46">
        <f t="shared" si="4"/>
        <v>-0.009000000000000008</v>
      </c>
      <c r="N35" s="34"/>
      <c r="P35" s="14">
        <v>18</v>
      </c>
      <c r="Q35" s="209" t="s">
        <v>78</v>
      </c>
      <c r="R35" s="155">
        <f>'МРСК 2'!C38</f>
        <v>2.5</v>
      </c>
      <c r="S35" s="155">
        <f>'МРСК 2'!D38</f>
        <v>0</v>
      </c>
      <c r="T35" s="167">
        <f>'МРСК 2'!E38</f>
        <v>0.416</v>
      </c>
      <c r="U35" s="146">
        <f>'МРСК 2'!F38</f>
        <v>0.407</v>
      </c>
      <c r="V35" s="147">
        <f>'МРСК 2'!G38</f>
        <v>20</v>
      </c>
      <c r="W35" s="146">
        <f>'МРСК 2'!H38</f>
        <v>0.009000000000000008</v>
      </c>
      <c r="X35" s="146">
        <f>'МРСК 2'!I38</f>
        <v>0</v>
      </c>
      <c r="Y35" s="146">
        <f>'МРСК 2'!J38</f>
        <v>0.407</v>
      </c>
      <c r="Z35" s="148">
        <f>'МРСК 2'!K38</f>
        <v>-0.009000000000000008</v>
      </c>
      <c r="AA35" s="46">
        <v>-0.009000000000000008</v>
      </c>
      <c r="AB35" s="34"/>
    </row>
    <row r="36" spans="1:28" ht="20.25" thickBot="1">
      <c r="A36" s="166">
        <v>19</v>
      </c>
      <c r="B36" s="209" t="s">
        <v>79</v>
      </c>
      <c r="C36" s="145">
        <f>'МРСК 2'!C39</f>
        <v>2.5</v>
      </c>
      <c r="D36" s="145">
        <v>1296</v>
      </c>
      <c r="E36" s="145">
        <v>648</v>
      </c>
      <c r="F36" s="119">
        <f t="shared" si="0"/>
        <v>1.4489720494198637</v>
      </c>
      <c r="G36" s="146">
        <v>1.38</v>
      </c>
      <c r="H36" s="147">
        <v>120</v>
      </c>
      <c r="I36" s="146">
        <f t="shared" si="2"/>
        <v>1.38</v>
      </c>
      <c r="J36" s="146">
        <v>0</v>
      </c>
      <c r="K36" s="144">
        <f t="shared" si="3"/>
        <v>1.38</v>
      </c>
      <c r="L36" s="148">
        <f t="shared" si="1"/>
        <v>-0.06897204941986379</v>
      </c>
      <c r="M36" s="46">
        <f t="shared" si="4"/>
        <v>-0.06897204941986379</v>
      </c>
      <c r="N36" s="34"/>
      <c r="P36" s="14">
        <v>19</v>
      </c>
      <c r="Q36" s="209" t="s">
        <v>79</v>
      </c>
      <c r="R36" s="155">
        <f>'МРСК 2'!C39</f>
        <v>2.5</v>
      </c>
      <c r="S36" s="155">
        <f>'МРСК 2'!D39</f>
        <v>0.014</v>
      </c>
      <c r="T36" s="167">
        <f>'МРСК 2'!E39</f>
        <v>1.4629720494198637</v>
      </c>
      <c r="U36" s="146">
        <f>'МРСК 2'!F39</f>
        <v>1.38</v>
      </c>
      <c r="V36" s="147">
        <f>'МРСК 2'!G39</f>
        <v>120</v>
      </c>
      <c r="W36" s="146">
        <f>'МРСК 2'!H39</f>
        <v>0.0829720494198638</v>
      </c>
      <c r="X36" s="146">
        <f>'МРСК 2'!I39</f>
        <v>0</v>
      </c>
      <c r="Y36" s="146">
        <f>'МРСК 2'!J39</f>
        <v>1.38</v>
      </c>
      <c r="Z36" s="148">
        <f>'МРСК 2'!K39</f>
        <v>-0.0829720494198638</v>
      </c>
      <c r="AA36" s="46">
        <v>-0.06897204941986379</v>
      </c>
      <c r="AB36" s="34"/>
    </row>
    <row r="37" spans="1:28" ht="20.25" thickBot="1">
      <c r="A37" s="14">
        <v>20</v>
      </c>
      <c r="B37" s="210" t="s">
        <v>80</v>
      </c>
      <c r="C37" s="47">
        <f>'МРСК 2'!C40</f>
        <v>2.5</v>
      </c>
      <c r="D37" s="47">
        <v>1336</v>
      </c>
      <c r="E37" s="47">
        <v>432</v>
      </c>
      <c r="F37" s="128">
        <f t="shared" si="0"/>
        <v>1.4041082579345512</v>
      </c>
      <c r="G37" s="15">
        <v>1.54</v>
      </c>
      <c r="H37" s="16">
        <v>45</v>
      </c>
      <c r="I37" s="15">
        <f t="shared" si="2"/>
        <v>1.54</v>
      </c>
      <c r="J37" s="15">
        <v>0</v>
      </c>
      <c r="K37" s="31">
        <f t="shared" si="3"/>
        <v>1.54</v>
      </c>
      <c r="L37" s="46">
        <f t="shared" si="1"/>
        <v>0.13589174206544885</v>
      </c>
      <c r="M37" s="46">
        <f t="shared" si="4"/>
        <v>0.13589174206544885</v>
      </c>
      <c r="N37" s="34"/>
      <c r="P37" s="14">
        <v>20</v>
      </c>
      <c r="Q37" s="210" t="s">
        <v>80</v>
      </c>
      <c r="R37" s="8">
        <f>'МРСК 2'!C40</f>
        <v>2.5</v>
      </c>
      <c r="S37" s="8">
        <f>'МРСК 2'!D40</f>
        <v>0</v>
      </c>
      <c r="T37" s="99">
        <f>'МРСК 2'!E40</f>
        <v>1.4041082579345512</v>
      </c>
      <c r="U37" s="15">
        <f>'МРСК 2'!F40</f>
        <v>1.54</v>
      </c>
      <c r="V37" s="16">
        <f>'МРСК 2'!G40</f>
        <v>45</v>
      </c>
      <c r="W37" s="15">
        <f>'МРСК 2'!H40</f>
        <v>-0.13589174206544885</v>
      </c>
      <c r="X37" s="15">
        <f>'МРСК 2'!I40</f>
        <v>0</v>
      </c>
      <c r="Y37" s="15">
        <f>'МРСК 2'!J40</f>
        <v>1.54</v>
      </c>
      <c r="Z37" s="46">
        <f>'МРСК 2'!K40</f>
        <v>0.13589174206544885</v>
      </c>
      <c r="AA37" s="46">
        <v>0.08719174206544889</v>
      </c>
      <c r="AB37" s="34"/>
    </row>
    <row r="38" spans="1:28" ht="20.25" thickBot="1">
      <c r="A38" s="166">
        <v>21</v>
      </c>
      <c r="B38" s="209" t="s">
        <v>81</v>
      </c>
      <c r="C38" s="145">
        <f>'МРСК 2'!C41</f>
        <v>2.5</v>
      </c>
      <c r="D38" s="145">
        <v>664</v>
      </c>
      <c r="E38" s="145">
        <v>288</v>
      </c>
      <c r="F38" s="119">
        <f t="shared" si="0"/>
        <v>0.7237679186037469</v>
      </c>
      <c r="G38" s="146">
        <v>0.6647</v>
      </c>
      <c r="H38" s="147">
        <v>45</v>
      </c>
      <c r="I38" s="146">
        <f t="shared" si="2"/>
        <v>0.6647</v>
      </c>
      <c r="J38" s="146">
        <v>0</v>
      </c>
      <c r="K38" s="144">
        <f t="shared" si="3"/>
        <v>0.6647</v>
      </c>
      <c r="L38" s="148">
        <f t="shared" si="1"/>
        <v>-0.05906791860374694</v>
      </c>
      <c r="M38" s="46">
        <f t="shared" si="4"/>
        <v>-0.05906791860374694</v>
      </c>
      <c r="N38" s="34"/>
      <c r="P38" s="14">
        <v>21</v>
      </c>
      <c r="Q38" s="209" t="s">
        <v>81</v>
      </c>
      <c r="R38" s="155">
        <f>'МРСК 2'!C41</f>
        <v>2.5</v>
      </c>
      <c r="S38" s="155">
        <f>'МРСК 2'!D41</f>
        <v>0</v>
      </c>
      <c r="T38" s="167">
        <f>'МРСК 2'!E41</f>
        <v>0.7237679186037469</v>
      </c>
      <c r="U38" s="146">
        <f>'МРСК 2'!F41</f>
        <v>0.6647</v>
      </c>
      <c r="V38" s="147">
        <f>'МРСК 2'!G41</f>
        <v>45</v>
      </c>
      <c r="W38" s="146">
        <f>'МРСК 2'!H41</f>
        <v>0.05906791860374694</v>
      </c>
      <c r="X38" s="146">
        <f>'МРСК 2'!I41</f>
        <v>0</v>
      </c>
      <c r="Y38" s="146">
        <f>'МРСК 2'!J41</f>
        <v>0.6647</v>
      </c>
      <c r="Z38" s="148">
        <f>'МРСК 2'!K41</f>
        <v>-0.05906791860374694</v>
      </c>
      <c r="AA38" s="46">
        <v>-0.05906791860374694</v>
      </c>
      <c r="AB38" s="34"/>
    </row>
    <row r="39" spans="1:28" ht="20.25" thickBot="1">
      <c r="A39" s="166">
        <v>22</v>
      </c>
      <c r="B39" s="209" t="s">
        <v>82</v>
      </c>
      <c r="C39" s="145">
        <f>'МРСК 2'!C42</f>
        <v>4</v>
      </c>
      <c r="D39" s="145">
        <v>1776</v>
      </c>
      <c r="E39" s="145">
        <v>396</v>
      </c>
      <c r="F39" s="119">
        <f t="shared" si="0"/>
        <v>1.8196131456988323</v>
      </c>
      <c r="G39" s="146">
        <v>0.78</v>
      </c>
      <c r="H39" s="147">
        <v>120</v>
      </c>
      <c r="I39" s="146">
        <f t="shared" si="2"/>
        <v>0.78</v>
      </c>
      <c r="J39" s="146">
        <v>0</v>
      </c>
      <c r="K39" s="144">
        <f t="shared" si="3"/>
        <v>0.78</v>
      </c>
      <c r="L39" s="148">
        <f t="shared" si="1"/>
        <v>-1.0396131456988322</v>
      </c>
      <c r="M39" s="46">
        <f t="shared" si="4"/>
        <v>-1.0396131456988322</v>
      </c>
      <c r="N39" s="34"/>
      <c r="P39" s="14">
        <v>22</v>
      </c>
      <c r="Q39" s="209" t="s">
        <v>82</v>
      </c>
      <c r="R39" s="155">
        <f>'МРСК 2'!C42</f>
        <v>4</v>
      </c>
      <c r="S39" s="155">
        <f>'МРСК 2'!D42</f>
        <v>0.2421</v>
      </c>
      <c r="T39" s="167">
        <f>'МРСК 2'!E42</f>
        <v>2.0617131456988322</v>
      </c>
      <c r="U39" s="146">
        <f>'МРСК 2'!F42</f>
        <v>0.78</v>
      </c>
      <c r="V39" s="147">
        <f>'МРСК 2'!G42</f>
        <v>120</v>
      </c>
      <c r="W39" s="146">
        <f>'МРСК 2'!H42</f>
        <v>1.2817131456988322</v>
      </c>
      <c r="X39" s="146">
        <f>'МРСК 2'!I42</f>
        <v>0</v>
      </c>
      <c r="Y39" s="146">
        <f>'МРСК 2'!J42</f>
        <v>0.78</v>
      </c>
      <c r="Z39" s="148">
        <f>'МРСК 2'!K42</f>
        <v>-1.2817131456988322</v>
      </c>
      <c r="AA39" s="46">
        <v>-1.0396131456988322</v>
      </c>
      <c r="AB39" s="34"/>
    </row>
    <row r="40" spans="1:28" ht="20.25" thickBot="1">
      <c r="A40" s="166">
        <v>23</v>
      </c>
      <c r="B40" s="209" t="s">
        <v>83</v>
      </c>
      <c r="C40" s="145">
        <f>'МРСК 2'!C43</f>
        <v>4</v>
      </c>
      <c r="D40" s="145">
        <v>708</v>
      </c>
      <c r="E40" s="145">
        <v>300</v>
      </c>
      <c r="F40" s="119">
        <f t="shared" si="0"/>
        <v>0.7689369284928381</v>
      </c>
      <c r="G40" s="146">
        <v>0.722</v>
      </c>
      <c r="H40" s="147">
        <v>45</v>
      </c>
      <c r="I40" s="146">
        <f t="shared" si="2"/>
        <v>0.722</v>
      </c>
      <c r="J40" s="146">
        <v>0</v>
      </c>
      <c r="K40" s="144">
        <f t="shared" si="3"/>
        <v>0.722</v>
      </c>
      <c r="L40" s="148">
        <f t="shared" si="1"/>
        <v>-0.04693692849283815</v>
      </c>
      <c r="M40" s="46">
        <f t="shared" si="4"/>
        <v>-0.04693692849283815</v>
      </c>
      <c r="N40" s="34"/>
      <c r="P40" s="14">
        <v>23</v>
      </c>
      <c r="Q40" s="209" t="s">
        <v>83</v>
      </c>
      <c r="R40" s="155">
        <f>'МРСК 2'!C43</f>
        <v>4</v>
      </c>
      <c r="S40" s="155">
        <f>'МРСК 2'!D43</f>
        <v>0.013</v>
      </c>
      <c r="T40" s="167">
        <f>'МРСК 2'!E43</f>
        <v>0.7819369284928381</v>
      </c>
      <c r="U40" s="146">
        <f>'МРСК 2'!F43</f>
        <v>0.722</v>
      </c>
      <c r="V40" s="147">
        <f>'МРСК 2'!G43</f>
        <v>45</v>
      </c>
      <c r="W40" s="146">
        <f>'МРСК 2'!H43</f>
        <v>0.05993692849283816</v>
      </c>
      <c r="X40" s="146">
        <f>'МРСК 2'!I43</f>
        <v>0</v>
      </c>
      <c r="Y40" s="146">
        <f>'МРСК 2'!J43</f>
        <v>0.722</v>
      </c>
      <c r="Z40" s="148">
        <f>'МРСК 2'!K43</f>
        <v>-0.05993692849283816</v>
      </c>
      <c r="AA40" s="46">
        <v>-0.2149369284928382</v>
      </c>
      <c r="AB40" s="34"/>
    </row>
    <row r="41" spans="1:28" ht="20.25" thickBot="1">
      <c r="A41" s="166">
        <v>24</v>
      </c>
      <c r="B41" s="209" t="s">
        <v>84</v>
      </c>
      <c r="C41" s="145">
        <f>'МРСК 2'!C44</f>
        <v>4</v>
      </c>
      <c r="D41" s="145">
        <v>2441</v>
      </c>
      <c r="E41" s="145">
        <v>768</v>
      </c>
      <c r="F41" s="119">
        <f t="shared" si="0"/>
        <v>2.558965611335956</v>
      </c>
      <c r="G41" s="146">
        <v>1.84</v>
      </c>
      <c r="H41" s="147">
        <v>80</v>
      </c>
      <c r="I41" s="146">
        <f t="shared" si="2"/>
        <v>1.84</v>
      </c>
      <c r="J41" s="146">
        <v>0</v>
      </c>
      <c r="K41" s="144">
        <f t="shared" si="3"/>
        <v>1.84</v>
      </c>
      <c r="L41" s="148">
        <f t="shared" si="1"/>
        <v>-0.7189656113359557</v>
      </c>
      <c r="M41" s="46">
        <f t="shared" si="4"/>
        <v>-0.7189656113359557</v>
      </c>
      <c r="N41" s="34"/>
      <c r="P41" s="14">
        <v>24</v>
      </c>
      <c r="Q41" s="209" t="s">
        <v>84</v>
      </c>
      <c r="R41" s="155">
        <f>'МРСК 2'!C44</f>
        <v>4</v>
      </c>
      <c r="S41" s="155">
        <f>'МРСК 2'!D44</f>
        <v>0.035</v>
      </c>
      <c r="T41" s="167">
        <f>'МРСК 2'!E44</f>
        <v>2.593965611335956</v>
      </c>
      <c r="U41" s="146">
        <f>'МРСК 2'!F44</f>
        <v>1.84</v>
      </c>
      <c r="V41" s="147">
        <f>'МРСК 2'!G44</f>
        <v>80</v>
      </c>
      <c r="W41" s="146">
        <f>'МРСК 2'!H44</f>
        <v>0.7539656113359559</v>
      </c>
      <c r="X41" s="146">
        <f>'МРСК 2'!I44</f>
        <v>0</v>
      </c>
      <c r="Y41" s="146">
        <f>'МРСК 2'!J44</f>
        <v>1.84</v>
      </c>
      <c r="Z41" s="148">
        <f>'МРСК 2'!K44</f>
        <v>-0.7539656113359559</v>
      </c>
      <c r="AA41" s="46">
        <v>-0.7189656113359557</v>
      </c>
      <c r="AB41" s="34"/>
    </row>
    <row r="42" spans="1:28" ht="20.25" thickBot="1">
      <c r="A42" s="14">
        <v>25</v>
      </c>
      <c r="B42" s="210" t="s">
        <v>85</v>
      </c>
      <c r="C42" s="47">
        <f>'МРСК 2'!C45</f>
        <v>2.5</v>
      </c>
      <c r="D42" s="47">
        <v>94</v>
      </c>
      <c r="E42" s="47">
        <v>151</v>
      </c>
      <c r="F42" s="128">
        <f t="shared" si="0"/>
        <v>0.17786792853125602</v>
      </c>
      <c r="G42" s="15">
        <v>1.676</v>
      </c>
      <c r="H42" s="16">
        <v>80</v>
      </c>
      <c r="I42" s="15">
        <f t="shared" si="2"/>
        <v>1.676</v>
      </c>
      <c r="J42" s="15">
        <v>0</v>
      </c>
      <c r="K42" s="31">
        <f t="shared" si="3"/>
        <v>1.676</v>
      </c>
      <c r="L42" s="46">
        <f t="shared" si="1"/>
        <v>1.4981320714687438</v>
      </c>
      <c r="M42" s="46">
        <f t="shared" si="4"/>
        <v>1.4981320714687438</v>
      </c>
      <c r="N42" s="34"/>
      <c r="P42" s="14">
        <v>25</v>
      </c>
      <c r="Q42" s="210" t="s">
        <v>85</v>
      </c>
      <c r="R42" s="8">
        <f>'МРСК 2'!C45</f>
        <v>2.5</v>
      </c>
      <c r="S42" s="8">
        <f>'МРСК 2'!D45</f>
        <v>0</v>
      </c>
      <c r="T42" s="99">
        <f>'МРСК 2'!E45</f>
        <v>0.17786792853125602</v>
      </c>
      <c r="U42" s="15">
        <f>'МРСК 2'!F45</f>
        <v>1.676</v>
      </c>
      <c r="V42" s="16">
        <f>'МРСК 2'!G45</f>
        <v>80</v>
      </c>
      <c r="W42" s="15">
        <f>'МРСК 2'!H45</f>
        <v>-1.4981320714687438</v>
      </c>
      <c r="X42" s="15">
        <f>'МРСК 2'!I45</f>
        <v>0</v>
      </c>
      <c r="Y42" s="15">
        <f>'МРСК 2'!J45</f>
        <v>1.676</v>
      </c>
      <c r="Z42" s="46">
        <f>'МРСК 2'!K45</f>
        <v>1.4981320714687438</v>
      </c>
      <c r="AA42" s="46">
        <v>1.4981320714687438</v>
      </c>
      <c r="AB42" s="34"/>
    </row>
    <row r="43" spans="1:28" ht="20.25" thickBot="1">
      <c r="A43" s="14">
        <v>26</v>
      </c>
      <c r="B43" s="210" t="s">
        <v>86</v>
      </c>
      <c r="C43" s="47">
        <f>'МРСК 2'!C46</f>
        <v>2.5</v>
      </c>
      <c r="D43" s="47">
        <v>616</v>
      </c>
      <c r="E43" s="47">
        <v>304</v>
      </c>
      <c r="F43" s="128">
        <f t="shared" si="0"/>
        <v>0.6869293995746578</v>
      </c>
      <c r="G43" s="15">
        <v>0.6872</v>
      </c>
      <c r="H43" s="16">
        <v>45</v>
      </c>
      <c r="I43" s="15">
        <f t="shared" si="2"/>
        <v>0.6872</v>
      </c>
      <c r="J43" s="15">
        <v>0</v>
      </c>
      <c r="K43" s="31">
        <f t="shared" si="3"/>
        <v>0.6872</v>
      </c>
      <c r="L43" s="46">
        <f t="shared" si="1"/>
        <v>0.0002706004253422156</v>
      </c>
      <c r="M43" s="46">
        <f t="shared" si="4"/>
        <v>0.0002706004253422156</v>
      </c>
      <c r="N43" s="34"/>
      <c r="P43" s="14">
        <v>26</v>
      </c>
      <c r="Q43" s="210" t="s">
        <v>86</v>
      </c>
      <c r="R43" s="8">
        <f>'МРСК 2'!C46</f>
        <v>2.5</v>
      </c>
      <c r="S43" s="8">
        <f>'МРСК 2'!D46</f>
        <v>0.035</v>
      </c>
      <c r="T43" s="99">
        <f>'МРСК 2'!E46</f>
        <v>0.7219293995746578</v>
      </c>
      <c r="U43" s="15">
        <f>'МРСК 2'!F46</f>
        <v>0.6872</v>
      </c>
      <c r="V43" s="16">
        <f>'МРСК 2'!G46</f>
        <v>45</v>
      </c>
      <c r="W43" s="15">
        <f>'МРСК 2'!H46</f>
        <v>0.034729399574657815</v>
      </c>
      <c r="X43" s="15">
        <f>'МРСК 2'!I46</f>
        <v>0</v>
      </c>
      <c r="Y43" s="15">
        <f>'МРСК 2'!J46</f>
        <v>0.6872</v>
      </c>
      <c r="Z43" s="46">
        <f>'МРСК 2'!K46</f>
        <v>-0.034729399574657815</v>
      </c>
      <c r="AA43" s="46">
        <v>0.0002706004253422156</v>
      </c>
      <c r="AB43" s="34"/>
    </row>
    <row r="44" spans="1:28" ht="20.25" thickBot="1">
      <c r="A44" s="166">
        <v>27</v>
      </c>
      <c r="B44" s="209" t="s">
        <v>87</v>
      </c>
      <c r="C44" s="145">
        <f>'МРСК 2'!C47</f>
        <v>2.5</v>
      </c>
      <c r="D44" s="145">
        <v>688</v>
      </c>
      <c r="E44" s="145">
        <v>244</v>
      </c>
      <c r="F44" s="119">
        <f t="shared" si="0"/>
        <v>0.7299863012413315</v>
      </c>
      <c r="G44" s="146">
        <v>0.7238</v>
      </c>
      <c r="H44" s="147">
        <v>120</v>
      </c>
      <c r="I44" s="146">
        <f t="shared" si="2"/>
        <v>0.7238</v>
      </c>
      <c r="J44" s="146">
        <v>0</v>
      </c>
      <c r="K44" s="144">
        <f t="shared" si="3"/>
        <v>0.7238</v>
      </c>
      <c r="L44" s="148">
        <f t="shared" si="1"/>
        <v>-0.00618630124133146</v>
      </c>
      <c r="M44" s="46">
        <f t="shared" si="4"/>
        <v>-0.00618630124133146</v>
      </c>
      <c r="N44" s="34"/>
      <c r="P44" s="14">
        <v>27</v>
      </c>
      <c r="Q44" s="209" t="s">
        <v>87</v>
      </c>
      <c r="R44" s="155">
        <f>'МРСК 2'!C47</f>
        <v>2.5</v>
      </c>
      <c r="S44" s="155">
        <f>'МРСК 2'!D47</f>
        <v>0</v>
      </c>
      <c r="T44" s="167">
        <f>'МРСК 2'!E47</f>
        <v>0.7299863012413315</v>
      </c>
      <c r="U44" s="146">
        <f>'МРСК 2'!F47</f>
        <v>0.7238</v>
      </c>
      <c r="V44" s="147">
        <f>'МРСК 2'!G47</f>
        <v>120</v>
      </c>
      <c r="W44" s="146">
        <f>'МРСК 2'!H47</f>
        <v>0.00618630124133146</v>
      </c>
      <c r="X44" s="146">
        <f>'МРСК 2'!I47</f>
        <v>0</v>
      </c>
      <c r="Y44" s="146">
        <f>'МРСК 2'!J47</f>
        <v>0.7238</v>
      </c>
      <c r="Z44" s="148">
        <f>'МРСК 2'!K47</f>
        <v>-0.00618630124133146</v>
      </c>
      <c r="AA44" s="46">
        <v>-0.00618630124133146</v>
      </c>
      <c r="AB44" s="34"/>
    </row>
    <row r="45" spans="1:28" ht="20.25" thickBot="1">
      <c r="A45" s="166">
        <v>28</v>
      </c>
      <c r="B45" s="209" t="s">
        <v>89</v>
      </c>
      <c r="C45" s="145">
        <f>'МРСК 2'!C48</f>
        <v>2.5</v>
      </c>
      <c r="D45" s="145">
        <v>660</v>
      </c>
      <c r="E45" s="145">
        <v>304</v>
      </c>
      <c r="F45" s="119">
        <f t="shared" si="0"/>
        <v>0.7266470945376442</v>
      </c>
      <c r="G45" s="146">
        <v>0.6797</v>
      </c>
      <c r="H45" s="147">
        <v>120</v>
      </c>
      <c r="I45" s="146">
        <f t="shared" si="2"/>
        <v>0.6797</v>
      </c>
      <c r="J45" s="146">
        <v>0</v>
      </c>
      <c r="K45" s="144">
        <f t="shared" si="3"/>
        <v>0.6797</v>
      </c>
      <c r="L45" s="148">
        <f t="shared" si="1"/>
        <v>-0.04694709453764423</v>
      </c>
      <c r="M45" s="46">
        <f t="shared" si="4"/>
        <v>-0.04694709453764423</v>
      </c>
      <c r="N45" s="34"/>
      <c r="P45" s="14">
        <v>28</v>
      </c>
      <c r="Q45" s="209" t="s">
        <v>89</v>
      </c>
      <c r="R45" s="155">
        <f>'МРСК 2'!C48</f>
        <v>2.5</v>
      </c>
      <c r="S45" s="155">
        <f>'МРСК 2'!D48</f>
        <v>0</v>
      </c>
      <c r="T45" s="167">
        <f>'МРСК 2'!E48</f>
        <v>0.7266470945376442</v>
      </c>
      <c r="U45" s="146">
        <f>'МРСК 2'!F48</f>
        <v>0.6797</v>
      </c>
      <c r="V45" s="147">
        <f>'МРСК 2'!G48</f>
        <v>120</v>
      </c>
      <c r="W45" s="146">
        <f>'МРСК 2'!H48</f>
        <v>0.04694709453764423</v>
      </c>
      <c r="X45" s="146">
        <f>'МРСК 2'!I48</f>
        <v>0</v>
      </c>
      <c r="Y45" s="146">
        <f>'МРСК 2'!J48</f>
        <v>0.6797</v>
      </c>
      <c r="Z45" s="148">
        <f>'МРСК 2'!K48</f>
        <v>-0.04694709453764423</v>
      </c>
      <c r="AA45" s="46">
        <v>-0.04694709453764423</v>
      </c>
      <c r="AB45" s="34"/>
    </row>
    <row r="46" spans="1:28" ht="20.25" thickBot="1">
      <c r="A46" s="168">
        <v>29</v>
      </c>
      <c r="B46" s="209" t="s">
        <v>88</v>
      </c>
      <c r="C46" s="149">
        <f>'МРСК 2'!C49</f>
        <v>2.5</v>
      </c>
      <c r="D46" s="149">
        <v>1112</v>
      </c>
      <c r="E46" s="149">
        <v>288</v>
      </c>
      <c r="F46" s="119">
        <f t="shared" si="0"/>
        <v>1.1486896882970614</v>
      </c>
      <c r="G46" s="150">
        <v>1</v>
      </c>
      <c r="H46" s="151">
        <v>80</v>
      </c>
      <c r="I46" s="150">
        <f t="shared" si="2"/>
        <v>1</v>
      </c>
      <c r="J46" s="150">
        <v>0</v>
      </c>
      <c r="K46" s="144">
        <f t="shared" si="3"/>
        <v>1</v>
      </c>
      <c r="L46" s="152">
        <f t="shared" si="1"/>
        <v>-0.14868968829706142</v>
      </c>
      <c r="M46" s="27">
        <f t="shared" si="4"/>
        <v>-0.14868968829706142</v>
      </c>
      <c r="N46" s="42"/>
      <c r="P46" s="39">
        <v>29</v>
      </c>
      <c r="Q46" s="209" t="s">
        <v>88</v>
      </c>
      <c r="R46" s="157">
        <f>'МРСК 2'!C49</f>
        <v>2.5</v>
      </c>
      <c r="S46" s="157">
        <f>'МРСК 2'!D49</f>
        <v>0</v>
      </c>
      <c r="T46" s="169">
        <f>'МРСК 2'!E49</f>
        <v>1.1486896882970614</v>
      </c>
      <c r="U46" s="150">
        <f>'МРСК 2'!F49</f>
        <v>1</v>
      </c>
      <c r="V46" s="151">
        <f>'МРСК 2'!G49</f>
        <v>80</v>
      </c>
      <c r="W46" s="150">
        <f>'МРСК 2'!H49</f>
        <v>0.14868968829706142</v>
      </c>
      <c r="X46" s="150">
        <f>'МРСК 2'!I49</f>
        <v>0</v>
      </c>
      <c r="Y46" s="150">
        <f>'МРСК 2'!J49</f>
        <v>1</v>
      </c>
      <c r="Z46" s="152">
        <f>'МРСК 2'!K49</f>
        <v>-0.14868968829706142</v>
      </c>
      <c r="AA46" s="27">
        <v>-0.14868968829706142</v>
      </c>
      <c r="AB46" s="42"/>
    </row>
    <row r="47" spans="1:28" ht="20.25" thickBot="1">
      <c r="A47" s="32" t="s">
        <v>90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  <c r="P47" s="32" t="s">
        <v>90</v>
      </c>
      <c r="Q47" s="107"/>
      <c r="R47" s="107"/>
      <c r="S47" s="107"/>
      <c r="T47" s="113"/>
      <c r="U47" s="107"/>
      <c r="V47" s="107"/>
      <c r="W47" s="107"/>
      <c r="X47" s="107"/>
      <c r="Y47" s="107"/>
      <c r="Z47" s="107"/>
      <c r="AA47" s="107"/>
      <c r="AB47" s="108"/>
    </row>
    <row r="48" spans="1:28" ht="39.75" thickBot="1">
      <c r="A48" s="37">
        <v>30</v>
      </c>
      <c r="B48" s="210" t="s">
        <v>91</v>
      </c>
      <c r="C48" s="30" t="str">
        <f>'МРСК 2'!C51</f>
        <v>16+16</v>
      </c>
      <c r="D48" s="30">
        <v>13361</v>
      </c>
      <c r="E48" s="30">
        <v>7836</v>
      </c>
      <c r="F48" s="105">
        <f aca="true" t="shared" si="5" ref="F48:F112">SQRT(D48*D48+E48*E48)/1000</f>
        <v>15.489325905280708</v>
      </c>
      <c r="G48" s="105">
        <v>3.561</v>
      </c>
      <c r="H48" s="43">
        <v>45</v>
      </c>
      <c r="I48" s="105">
        <f aca="true" t="shared" si="6" ref="I48:I113">F48-G48</f>
        <v>11.928325905280708</v>
      </c>
      <c r="J48" s="31">
        <v>0</v>
      </c>
      <c r="K48" s="45">
        <v>16.8</v>
      </c>
      <c r="L48" s="105">
        <v>4.8716740947192925</v>
      </c>
      <c r="M48" s="105">
        <f>L48</f>
        <v>4.8716740947192925</v>
      </c>
      <c r="N48" s="44"/>
      <c r="P48" s="37">
        <v>30</v>
      </c>
      <c r="Q48" s="210" t="s">
        <v>91</v>
      </c>
      <c r="R48" s="30" t="str">
        <f>'МРСК 2'!C51</f>
        <v>16+16</v>
      </c>
      <c r="S48" s="30">
        <f>'МРСК 2'!D51</f>
        <v>0.952</v>
      </c>
      <c r="T48" s="31">
        <f>'МРСК 2'!E51</f>
        <v>16.441325905280706</v>
      </c>
      <c r="U48" s="105">
        <f>'МРСК 2'!F51</f>
        <v>3.561</v>
      </c>
      <c r="V48" s="43">
        <f>'МРСК 2'!G51</f>
        <v>45</v>
      </c>
      <c r="W48" s="46">
        <f>'МРСК 2'!H51</f>
        <v>12.880325905280706</v>
      </c>
      <c r="X48" s="31">
        <f>'МРСК 2'!I51</f>
        <v>0</v>
      </c>
      <c r="Y48" s="45">
        <f>'МРСК 2'!J51</f>
        <v>16.8</v>
      </c>
      <c r="Z48" s="105">
        <f>'МРСК 2'!K51</f>
        <v>3.9196740947192943</v>
      </c>
      <c r="AA48" s="105" t="e">
        <f>'МРСК 2'!L51:L53</f>
        <v>#VALUE!</v>
      </c>
      <c r="AB48" s="44"/>
    </row>
    <row r="49" spans="1:28" ht="20.25" thickTop="1">
      <c r="A49" s="82">
        <v>31</v>
      </c>
      <c r="B49" s="210" t="s">
        <v>92</v>
      </c>
      <c r="C49" s="84" t="str">
        <f>'МРСК 2'!C52</f>
        <v>16+10</v>
      </c>
      <c r="D49" s="84">
        <f>D50+D51</f>
        <v>9152</v>
      </c>
      <c r="E49" s="84">
        <f>E50+E51</f>
        <v>3513</v>
      </c>
      <c r="F49" s="105">
        <f t="shared" si="5"/>
        <v>9.803074670734688</v>
      </c>
      <c r="G49" s="85">
        <v>8.95</v>
      </c>
      <c r="H49" s="86">
        <v>120</v>
      </c>
      <c r="I49" s="87">
        <f t="shared" si="6"/>
        <v>0.8530746707346886</v>
      </c>
      <c r="J49" s="87">
        <v>0</v>
      </c>
      <c r="K49" s="87">
        <v>10.5</v>
      </c>
      <c r="L49" s="103">
        <v>9.646925329265311</v>
      </c>
      <c r="M49" s="238">
        <f>MIN(L49:L51)</f>
        <v>9.641567696789767</v>
      </c>
      <c r="N49" s="88"/>
      <c r="P49" s="82">
        <v>31</v>
      </c>
      <c r="Q49" s="210" t="s">
        <v>92</v>
      </c>
      <c r="R49" s="84" t="str">
        <f>'МРСК 2'!C52</f>
        <v>16+10</v>
      </c>
      <c r="S49" s="84">
        <f>'МРСК 2'!D52</f>
        <v>0.03</v>
      </c>
      <c r="T49" s="101">
        <f>'МРСК 2'!E52</f>
        <v>9.833074670734687</v>
      </c>
      <c r="U49" s="85">
        <f>'МРСК 2'!F52</f>
        <v>8.95</v>
      </c>
      <c r="V49" s="86">
        <f>'МРСК 2'!G52</f>
        <v>120</v>
      </c>
      <c r="W49" s="87">
        <f>'МРСК 2'!H52</f>
        <v>0.8830746707346879</v>
      </c>
      <c r="X49" s="87">
        <f>'МРСК 2'!I52</f>
        <v>0</v>
      </c>
      <c r="Y49" s="87">
        <f>'МРСК 2'!J52</f>
        <v>10.5</v>
      </c>
      <c r="Z49" s="103">
        <f>'МРСК 2'!K52</f>
        <v>9.616925329265312</v>
      </c>
      <c r="AA49" s="238">
        <v>9.641567696789767</v>
      </c>
      <c r="AB49" s="88"/>
    </row>
    <row r="50" spans="1:28" ht="19.5">
      <c r="A50" s="14"/>
      <c r="B50" s="210" t="s">
        <v>59</v>
      </c>
      <c r="C50" s="8" t="str">
        <f>'МРСК 2'!C53</f>
        <v>16+10</v>
      </c>
      <c r="D50" s="8">
        <v>7582</v>
      </c>
      <c r="E50" s="8">
        <v>2985</v>
      </c>
      <c r="F50" s="105">
        <f t="shared" si="5"/>
        <v>8.148432303210232</v>
      </c>
      <c r="G50" s="33">
        <v>7.29</v>
      </c>
      <c r="H50" s="47"/>
      <c r="I50" s="15">
        <f t="shared" si="6"/>
        <v>0.8584323032102317</v>
      </c>
      <c r="J50" s="15">
        <v>0</v>
      </c>
      <c r="K50" s="31">
        <v>10.5</v>
      </c>
      <c r="L50" s="46">
        <v>9.641567696789767</v>
      </c>
      <c r="M50" s="236"/>
      <c r="N50" s="34"/>
      <c r="P50" s="14"/>
      <c r="Q50" s="210" t="s">
        <v>59</v>
      </c>
      <c r="R50" s="8" t="str">
        <f>'МРСК 2'!C53</f>
        <v>16+10</v>
      </c>
      <c r="S50" s="8">
        <f>'МРСК 2'!D53</f>
        <v>0</v>
      </c>
      <c r="T50" s="99">
        <f>'МРСК 2'!E53</f>
        <v>8.148432303210232</v>
      </c>
      <c r="U50" s="33">
        <f>'МРСК 2'!F53</f>
        <v>7.29</v>
      </c>
      <c r="V50" s="47">
        <f>'МРСК 2'!G53</f>
        <v>0</v>
      </c>
      <c r="W50" s="15">
        <f>'МРСК 2'!H53</f>
        <v>0.8584323032102317</v>
      </c>
      <c r="X50" s="15">
        <f>'МРСК 2'!I53</f>
        <v>0</v>
      </c>
      <c r="Y50" s="15">
        <f>'МРСК 2'!J53</f>
        <v>10.5</v>
      </c>
      <c r="Z50" s="46">
        <f>'МРСК 2'!K53</f>
        <v>9.641567696789767</v>
      </c>
      <c r="AA50" s="236"/>
      <c r="AB50" s="34"/>
    </row>
    <row r="51" spans="1:28" ht="20.25" thickBot="1">
      <c r="A51" s="74"/>
      <c r="B51" s="210" t="s">
        <v>60</v>
      </c>
      <c r="C51" s="75" t="str">
        <f>'МРСК 2'!C54</f>
        <v>16+10</v>
      </c>
      <c r="D51" s="75">
        <v>1570</v>
      </c>
      <c r="E51" s="75">
        <v>528</v>
      </c>
      <c r="F51" s="105">
        <f t="shared" si="5"/>
        <v>1.6564069548272249</v>
      </c>
      <c r="G51" s="77">
        <v>1.6599999999999993</v>
      </c>
      <c r="H51" s="78"/>
      <c r="I51" s="79">
        <f t="shared" si="6"/>
        <v>-0.0035930451727743673</v>
      </c>
      <c r="J51" s="79">
        <v>0</v>
      </c>
      <c r="K51" s="80">
        <v>10.5</v>
      </c>
      <c r="L51" s="76">
        <v>10.503593045172774</v>
      </c>
      <c r="M51" s="237"/>
      <c r="N51" s="81"/>
      <c r="P51" s="74"/>
      <c r="Q51" s="210" t="s">
        <v>60</v>
      </c>
      <c r="R51" s="75" t="str">
        <f>'МРСК 2'!C54</f>
        <v>16+10</v>
      </c>
      <c r="S51" s="75">
        <f>'МРСК 2'!D54</f>
        <v>0.03</v>
      </c>
      <c r="T51" s="100">
        <f>'МРСК 2'!E54</f>
        <v>1.686406954827225</v>
      </c>
      <c r="U51" s="77">
        <f>'МРСК 2'!F54</f>
        <v>1.6599999999999993</v>
      </c>
      <c r="V51" s="78">
        <f>'МРСК 2'!G54</f>
        <v>0</v>
      </c>
      <c r="W51" s="79">
        <f>'МРСК 2'!H54</f>
        <v>0.02640695482722566</v>
      </c>
      <c r="X51" s="79">
        <f>'МРСК 2'!I54</f>
        <v>0</v>
      </c>
      <c r="Y51" s="79">
        <f>'МРСК 2'!J54</f>
        <v>10.5</v>
      </c>
      <c r="Z51" s="76">
        <f>'МРСК 2'!K54</f>
        <v>10.473593045172775</v>
      </c>
      <c r="AA51" s="237"/>
      <c r="AB51" s="81"/>
    </row>
    <row r="52" spans="1:28" ht="20.25" thickTop="1">
      <c r="A52" s="82">
        <v>32</v>
      </c>
      <c r="B52" s="210" t="s">
        <v>93</v>
      </c>
      <c r="C52" s="84" t="str">
        <f>'МРСК 2'!C55</f>
        <v>16+16</v>
      </c>
      <c r="D52" s="84">
        <f>D53+D54</f>
        <v>12411</v>
      </c>
      <c r="E52" s="84">
        <f>E53+E54</f>
        <v>4290</v>
      </c>
      <c r="F52" s="105">
        <f t="shared" si="5"/>
        <v>13.131527748133498</v>
      </c>
      <c r="G52" s="85">
        <v>8.37</v>
      </c>
      <c r="H52" s="86">
        <v>80</v>
      </c>
      <c r="I52" s="87">
        <f t="shared" si="6"/>
        <v>4.761527748133499</v>
      </c>
      <c r="J52" s="87">
        <v>0</v>
      </c>
      <c r="K52" s="87">
        <v>16.8</v>
      </c>
      <c r="L52" s="103">
        <v>12.038472251866501</v>
      </c>
      <c r="M52" s="238">
        <f>MIN(L52:L54)</f>
        <v>12.038472251866501</v>
      </c>
      <c r="N52" s="88"/>
      <c r="P52" s="82">
        <v>32</v>
      </c>
      <c r="Q52" s="210" t="s">
        <v>93</v>
      </c>
      <c r="R52" s="84" t="str">
        <f>'МРСК 2'!C55</f>
        <v>16+16</v>
      </c>
      <c r="S52" s="84">
        <f>'МРСК 2'!D55</f>
        <v>12.321399999999999</v>
      </c>
      <c r="T52" s="101">
        <f>'МРСК 2'!E55</f>
        <v>25.452927748133497</v>
      </c>
      <c r="U52" s="85">
        <f>'МРСК 2'!F55</f>
        <v>8.37</v>
      </c>
      <c r="V52" s="86">
        <f>'МРСК 2'!G55</f>
        <v>80</v>
      </c>
      <c r="W52" s="87">
        <f>'МРСК 2'!H55</f>
        <v>17.0829277481335</v>
      </c>
      <c r="X52" s="87">
        <f>'МРСК 2'!I55</f>
        <v>0</v>
      </c>
      <c r="Y52" s="87">
        <f>'МРСК 2'!J55</f>
        <v>16.8</v>
      </c>
      <c r="Z52" s="103">
        <f>'МРСК 2'!K55</f>
        <v>-0.2829277481334991</v>
      </c>
      <c r="AA52" s="238">
        <v>11.413472251866501</v>
      </c>
      <c r="AB52" s="88"/>
    </row>
    <row r="53" spans="1:28" ht="19.5">
      <c r="A53" s="14"/>
      <c r="B53" s="210" t="s">
        <v>59</v>
      </c>
      <c r="C53" s="8" t="str">
        <f>'МРСК 2'!C56</f>
        <v>16+16</v>
      </c>
      <c r="D53" s="8">
        <v>6573</v>
      </c>
      <c r="E53" s="8">
        <v>2264</v>
      </c>
      <c r="F53" s="105">
        <f t="shared" si="5"/>
        <v>6.951979933803032</v>
      </c>
      <c r="G53" s="33">
        <v>6.697</v>
      </c>
      <c r="H53" s="47"/>
      <c r="I53" s="15">
        <f t="shared" si="6"/>
        <v>0.25497993380303186</v>
      </c>
      <c r="J53" s="15">
        <v>0</v>
      </c>
      <c r="K53" s="31">
        <v>16.8</v>
      </c>
      <c r="L53" s="46">
        <v>16.54502006619697</v>
      </c>
      <c r="M53" s="236"/>
      <c r="N53" s="34"/>
      <c r="P53" s="14"/>
      <c r="Q53" s="210" t="s">
        <v>59</v>
      </c>
      <c r="R53" s="8" t="str">
        <f>'МРСК 2'!C56</f>
        <v>16+16</v>
      </c>
      <c r="S53" s="8">
        <f>'МРСК 2'!D56</f>
        <v>0</v>
      </c>
      <c r="T53" s="99">
        <f>'МРСК 2'!E56</f>
        <v>6.951979933803032</v>
      </c>
      <c r="U53" s="33">
        <f>'МРСК 2'!F56</f>
        <v>6.697</v>
      </c>
      <c r="V53" s="47">
        <f>'МРСК 2'!G56</f>
        <v>0</v>
      </c>
      <c r="W53" s="15">
        <f>'МРСК 2'!H56</f>
        <v>0.25497993380303186</v>
      </c>
      <c r="X53" s="15">
        <f>'МРСК 2'!I56</f>
        <v>0</v>
      </c>
      <c r="Y53" s="15">
        <f>'МРСК 2'!J56</f>
        <v>16.8</v>
      </c>
      <c r="Z53" s="46">
        <f>'МРСК 2'!K56</f>
        <v>16.54502006619697</v>
      </c>
      <c r="AA53" s="236"/>
      <c r="AB53" s="34"/>
    </row>
    <row r="54" spans="1:28" ht="20.25" thickBot="1">
      <c r="A54" s="74"/>
      <c r="B54" s="210" t="s">
        <v>60</v>
      </c>
      <c r="C54" s="75" t="str">
        <f>'МРСК 2'!C57</f>
        <v>16+16</v>
      </c>
      <c r="D54" s="8">
        <v>5838</v>
      </c>
      <c r="E54" s="8">
        <v>2026</v>
      </c>
      <c r="F54" s="105">
        <f t="shared" si="5"/>
        <v>6.179556618399091</v>
      </c>
      <c r="G54" s="77">
        <v>1.6729999999999992</v>
      </c>
      <c r="H54" s="78"/>
      <c r="I54" s="79">
        <f t="shared" si="6"/>
        <v>4.506556618399092</v>
      </c>
      <c r="J54" s="79">
        <v>0</v>
      </c>
      <c r="K54" s="80">
        <v>16.8</v>
      </c>
      <c r="L54" s="76">
        <v>12.293443381600909</v>
      </c>
      <c r="M54" s="237"/>
      <c r="N54" s="81"/>
      <c r="P54" s="74"/>
      <c r="Q54" s="210" t="s">
        <v>60</v>
      </c>
      <c r="R54" s="75" t="str">
        <f>'МРСК 2'!C57</f>
        <v>16+16</v>
      </c>
      <c r="S54" s="75">
        <f>'МРСК 2'!D57</f>
        <v>12.321399999999999</v>
      </c>
      <c r="T54" s="100">
        <f>'МРСК 2'!E57</f>
        <v>18.50095661839909</v>
      </c>
      <c r="U54" s="77">
        <f>'МРСК 2'!F57</f>
        <v>1.6729999999999992</v>
      </c>
      <c r="V54" s="78">
        <f>'МРСК 2'!G57</f>
        <v>0</v>
      </c>
      <c r="W54" s="79">
        <f>'МРСК 2'!H57</f>
        <v>16.827956618399092</v>
      </c>
      <c r="X54" s="79">
        <f>'МРСК 2'!I57</f>
        <v>0</v>
      </c>
      <c r="Y54" s="79">
        <f>'МРСК 2'!J57</f>
        <v>16.8</v>
      </c>
      <c r="Z54" s="76">
        <f>'МРСК 2'!K57</f>
        <v>-0.027956618399091582</v>
      </c>
      <c r="AA54" s="237"/>
      <c r="AB54" s="81"/>
    </row>
    <row r="55" spans="1:28" ht="21" thickBot="1" thickTop="1">
      <c r="A55" s="82">
        <v>33</v>
      </c>
      <c r="B55" s="210" t="s">
        <v>94</v>
      </c>
      <c r="C55" s="84" t="str">
        <f>'МРСК 2'!C58</f>
        <v>25+25+25</v>
      </c>
      <c r="D55" s="84">
        <f>D56+D57</f>
        <v>39765</v>
      </c>
      <c r="E55" s="84">
        <f>E56+E57</f>
        <v>17571</v>
      </c>
      <c r="F55" s="105">
        <f t="shared" si="5"/>
        <v>43.47407579236159</v>
      </c>
      <c r="G55" s="85">
        <f>'МРСК 2'!F58</f>
        <v>5.322</v>
      </c>
      <c r="H55" s="86">
        <v>120</v>
      </c>
      <c r="I55" s="87">
        <f t="shared" si="6"/>
        <v>38.152075792361586</v>
      </c>
      <c r="J55" s="87">
        <v>0</v>
      </c>
      <c r="K55" s="87">
        <v>52.5</v>
      </c>
      <c r="L55" s="103">
        <v>14.347924207638414</v>
      </c>
      <c r="M55" s="238">
        <f>MIN(L55:L57)</f>
        <v>14.347924207638414</v>
      </c>
      <c r="N55" s="88"/>
      <c r="P55" s="82">
        <v>33</v>
      </c>
      <c r="Q55" s="210" t="s">
        <v>94</v>
      </c>
      <c r="R55" s="84" t="str">
        <f>'МРСК 2'!C58</f>
        <v>25+25+25</v>
      </c>
      <c r="S55" s="84">
        <f>'МРСК 2'!D58</f>
        <v>0</v>
      </c>
      <c r="T55" s="101">
        <f>'МРСК 2'!E58</f>
        <v>43.47407579236159</v>
      </c>
      <c r="U55" s="85">
        <f>'МРСК 2'!F58</f>
        <v>5.322</v>
      </c>
      <c r="V55" s="86">
        <f>'МРСК 2'!G58</f>
        <v>120</v>
      </c>
      <c r="W55" s="87">
        <f>'МРСК 2'!H58</f>
        <v>38.152075792361586</v>
      </c>
      <c r="X55" s="87">
        <f>'МРСК 2'!I58</f>
        <v>0</v>
      </c>
      <c r="Y55" s="87">
        <f>'МРСК 2'!J58</f>
        <v>52.5</v>
      </c>
      <c r="Z55" s="103">
        <f>'МРСК 2'!K58</f>
        <v>14.347924207638414</v>
      </c>
      <c r="AA55" s="238">
        <v>14.347924207638414</v>
      </c>
      <c r="AB55" s="88"/>
    </row>
    <row r="56" spans="1:28" ht="21" thickBot="1" thickTop="1">
      <c r="A56" s="14"/>
      <c r="B56" s="210" t="s">
        <v>59</v>
      </c>
      <c r="C56" s="8" t="str">
        <f>'МРСК 2'!C59</f>
        <v>25+25+25</v>
      </c>
      <c r="D56" s="8">
        <v>16965</v>
      </c>
      <c r="E56" s="8">
        <v>8691</v>
      </c>
      <c r="F56" s="105">
        <f t="shared" si="5"/>
        <v>19.06160292315418</v>
      </c>
      <c r="G56" s="33">
        <f>'МРСК 2'!F59</f>
        <v>3.102</v>
      </c>
      <c r="H56" s="47"/>
      <c r="I56" s="15">
        <f t="shared" si="6"/>
        <v>15.95960292315418</v>
      </c>
      <c r="J56" s="15">
        <v>0</v>
      </c>
      <c r="K56" s="31">
        <v>52.5</v>
      </c>
      <c r="L56" s="46">
        <v>36.54039707684582</v>
      </c>
      <c r="M56" s="236"/>
      <c r="N56" s="34"/>
      <c r="P56" s="14"/>
      <c r="Q56" s="210" t="s">
        <v>59</v>
      </c>
      <c r="R56" s="84" t="str">
        <f>'МРСК 2'!C59</f>
        <v>25+25+25</v>
      </c>
      <c r="S56" s="8">
        <f>'МРСК 2'!D59</f>
        <v>0</v>
      </c>
      <c r="T56" s="99">
        <f>'МРСК 2'!E59</f>
        <v>19.06160292315418</v>
      </c>
      <c r="U56" s="33">
        <f>'МРСК 2'!F59</f>
        <v>3.102</v>
      </c>
      <c r="V56" s="47">
        <f>'МРСК 2'!G59</f>
        <v>0</v>
      </c>
      <c r="W56" s="15">
        <f>'МРСК 2'!H59</f>
        <v>15.95960292315418</v>
      </c>
      <c r="X56" s="15">
        <f>'МРСК 2'!I59</f>
        <v>0</v>
      </c>
      <c r="Y56" s="15">
        <f>'МРСК 2'!J59</f>
        <v>52.5</v>
      </c>
      <c r="Z56" s="46">
        <f>'МРСК 2'!K59</f>
        <v>36.54039707684582</v>
      </c>
      <c r="AA56" s="236"/>
      <c r="AB56" s="34"/>
    </row>
    <row r="57" spans="1:28" ht="21" thickBot="1" thickTop="1">
      <c r="A57" s="74"/>
      <c r="B57" s="210" t="s">
        <v>60</v>
      </c>
      <c r="C57" s="75" t="str">
        <f>'МРСК 2'!C60</f>
        <v>25+25+25</v>
      </c>
      <c r="D57" s="75">
        <v>22800</v>
      </c>
      <c r="E57" s="75">
        <v>8880</v>
      </c>
      <c r="F57" s="105">
        <f t="shared" si="5"/>
        <v>24.468232465791232</v>
      </c>
      <c r="G57" s="77">
        <f>'МРСК 2'!F60</f>
        <v>2.22</v>
      </c>
      <c r="H57" s="78"/>
      <c r="I57" s="79">
        <f t="shared" si="6"/>
        <v>22.248232465791233</v>
      </c>
      <c r="J57" s="79">
        <v>0</v>
      </c>
      <c r="K57" s="80">
        <v>52.5</v>
      </c>
      <c r="L57" s="76">
        <v>30.251767534208767</v>
      </c>
      <c r="M57" s="237"/>
      <c r="N57" s="81"/>
      <c r="P57" s="74"/>
      <c r="Q57" s="210" t="s">
        <v>60</v>
      </c>
      <c r="R57" s="84" t="str">
        <f>'МРСК 2'!C60</f>
        <v>25+25+25</v>
      </c>
      <c r="S57" s="75">
        <f>'МРСК 2'!D60</f>
        <v>1.3985</v>
      </c>
      <c r="T57" s="100">
        <f>'МРСК 2'!E60</f>
        <v>25.86673246579123</v>
      </c>
      <c r="U57" s="77">
        <f>'МРСК 2'!F60</f>
        <v>2.22</v>
      </c>
      <c r="V57" s="78">
        <f>'МРСК 2'!G60</f>
        <v>0</v>
      </c>
      <c r="W57" s="79">
        <f>'МРСК 2'!H60</f>
        <v>23.64673246579123</v>
      </c>
      <c r="X57" s="79">
        <f>'МРСК 2'!I60</f>
        <v>0</v>
      </c>
      <c r="Y57" s="79">
        <f>'МРСК 2'!J60</f>
        <v>52.5</v>
      </c>
      <c r="Z57" s="76">
        <f>'МРСК 2'!K60</f>
        <v>28.85326753420877</v>
      </c>
      <c r="AA57" s="237"/>
      <c r="AB57" s="81"/>
    </row>
    <row r="58" spans="1:28" ht="20.25" thickTop="1">
      <c r="A58" s="82">
        <v>34</v>
      </c>
      <c r="B58" s="210" t="s">
        <v>95</v>
      </c>
      <c r="C58" s="84" t="str">
        <f>'МРСК 2'!C61</f>
        <v>10+16</v>
      </c>
      <c r="D58" s="84">
        <f>D59+D60</f>
        <v>10006</v>
      </c>
      <c r="E58" s="84">
        <f>E59+E60</f>
        <v>3960</v>
      </c>
      <c r="F58" s="105">
        <f t="shared" si="5"/>
        <v>10.76111685653492</v>
      </c>
      <c r="G58" s="85">
        <v>8.87</v>
      </c>
      <c r="H58" s="86">
        <v>45</v>
      </c>
      <c r="I58" s="87">
        <f t="shared" si="6"/>
        <v>1.8911168565349215</v>
      </c>
      <c r="J58" s="87">
        <v>0</v>
      </c>
      <c r="K58" s="87">
        <v>10.5</v>
      </c>
      <c r="L58" s="103">
        <v>8.608883143465079</v>
      </c>
      <c r="M58" s="238">
        <f>MIN(L58:L60)</f>
        <v>8.608883143465079</v>
      </c>
      <c r="N58" s="88"/>
      <c r="P58" s="82">
        <v>34</v>
      </c>
      <c r="Q58" s="210" t="s">
        <v>95</v>
      </c>
      <c r="R58" s="84" t="str">
        <f>'МРСК 2'!C61</f>
        <v>10+16</v>
      </c>
      <c r="S58" s="84">
        <f>'МРСК 2'!D61</f>
        <v>0.015</v>
      </c>
      <c r="T58" s="101">
        <f>'МРСК 2'!E61</f>
        <v>10.776116856534921</v>
      </c>
      <c r="U58" s="85">
        <f>'МРСК 2'!F61</f>
        <v>8.87</v>
      </c>
      <c r="V58" s="86">
        <f>'МРСК 2'!G61</f>
        <v>45</v>
      </c>
      <c r="W58" s="87">
        <f>'МРСК 2'!H61</f>
        <v>1.906116856534922</v>
      </c>
      <c r="X58" s="87">
        <f>'МРСК 2'!I61</f>
        <v>0</v>
      </c>
      <c r="Y58" s="87">
        <f>'МРСК 2'!J61</f>
        <v>10.5</v>
      </c>
      <c r="Z58" s="103">
        <f>'МРСК 2'!K61</f>
        <v>8.593883143465078</v>
      </c>
      <c r="AA58" s="238">
        <v>8.608883143465079</v>
      </c>
      <c r="AB58" s="88"/>
    </row>
    <row r="59" spans="1:28" ht="19.5">
      <c r="A59" s="14"/>
      <c r="B59" s="210" t="s">
        <v>59</v>
      </c>
      <c r="C59" s="8" t="str">
        <f>'МРСК 2'!C62</f>
        <v>10+16</v>
      </c>
      <c r="D59" s="8">
        <v>9416</v>
      </c>
      <c r="E59" s="8">
        <v>3776</v>
      </c>
      <c r="F59" s="105">
        <f t="shared" si="5"/>
        <v>10.144911630960616</v>
      </c>
      <c r="G59" s="33">
        <v>8.867</v>
      </c>
      <c r="H59" s="47"/>
      <c r="I59" s="15">
        <f t="shared" si="6"/>
        <v>1.2779116309606149</v>
      </c>
      <c r="J59" s="15">
        <v>0</v>
      </c>
      <c r="K59" s="31">
        <v>10.5</v>
      </c>
      <c r="L59" s="46">
        <v>9.222088369039385</v>
      </c>
      <c r="M59" s="236"/>
      <c r="N59" s="34"/>
      <c r="P59" s="14"/>
      <c r="Q59" s="210" t="s">
        <v>59</v>
      </c>
      <c r="R59" s="8" t="str">
        <f>'МРСК 2'!C62</f>
        <v>10+16</v>
      </c>
      <c r="S59" s="8">
        <f>'МРСК 2'!D62</f>
        <v>0</v>
      </c>
      <c r="T59" s="99">
        <f>'МРСК 2'!E62</f>
        <v>10.144911630960616</v>
      </c>
      <c r="U59" s="33">
        <f>'МРСК 2'!F62</f>
        <v>8.867</v>
      </c>
      <c r="V59" s="47">
        <f>'МРСК 2'!G62</f>
        <v>0</v>
      </c>
      <c r="W59" s="15">
        <f>'МРСК 2'!H62</f>
        <v>1.2779116309606149</v>
      </c>
      <c r="X59" s="15">
        <f>'МРСК 2'!I62</f>
        <v>0</v>
      </c>
      <c r="Y59" s="15">
        <f>'МРСК 2'!J62</f>
        <v>10.5</v>
      </c>
      <c r="Z59" s="46">
        <f>'МРСК 2'!K62</f>
        <v>9.222088369039385</v>
      </c>
      <c r="AA59" s="236"/>
      <c r="AB59" s="34"/>
    </row>
    <row r="60" spans="1:28" ht="20.25" thickBot="1">
      <c r="A60" s="74"/>
      <c r="B60" s="210" t="s">
        <v>60</v>
      </c>
      <c r="C60" s="75" t="str">
        <f>'МРСК 2'!C63</f>
        <v>10+16</v>
      </c>
      <c r="D60" s="75">
        <v>590</v>
      </c>
      <c r="E60" s="75">
        <v>184</v>
      </c>
      <c r="F60" s="105">
        <f t="shared" si="5"/>
        <v>0.6180258894253541</v>
      </c>
      <c r="G60" s="77">
        <v>0</v>
      </c>
      <c r="H60" s="78"/>
      <c r="I60" s="79">
        <f t="shared" si="6"/>
        <v>0.6180258894253541</v>
      </c>
      <c r="J60" s="79">
        <v>0</v>
      </c>
      <c r="K60" s="80">
        <v>10.5</v>
      </c>
      <c r="L60" s="76">
        <v>9.881974110574646</v>
      </c>
      <c r="M60" s="237"/>
      <c r="N60" s="81"/>
      <c r="P60" s="74"/>
      <c r="Q60" s="210" t="s">
        <v>60</v>
      </c>
      <c r="R60" s="75" t="str">
        <f>'МРСК 2'!C63</f>
        <v>10+16</v>
      </c>
      <c r="S60" s="75">
        <f>'МРСК 2'!D63</f>
        <v>0.015</v>
      </c>
      <c r="T60" s="100">
        <f>'МРСК 2'!E63</f>
        <v>0.6330258894253541</v>
      </c>
      <c r="U60" s="77">
        <f>'МРСК 2'!F63</f>
        <v>0</v>
      </c>
      <c r="V60" s="78">
        <f>'МРСК 2'!G63</f>
        <v>0</v>
      </c>
      <c r="W60" s="79">
        <f>'МРСК 2'!H63</f>
        <v>0.6330258894253541</v>
      </c>
      <c r="X60" s="79">
        <f>'МРСК 2'!I63</f>
        <v>0</v>
      </c>
      <c r="Y60" s="79">
        <f>'МРСК 2'!J63</f>
        <v>10.5</v>
      </c>
      <c r="Z60" s="76">
        <f>'МРСК 2'!K63</f>
        <v>9.866974110574645</v>
      </c>
      <c r="AA60" s="237"/>
      <c r="AB60" s="81"/>
    </row>
    <row r="61" spans="1:28" ht="21" thickBot="1" thickTop="1">
      <c r="A61" s="166">
        <v>35</v>
      </c>
      <c r="B61" s="209" t="s">
        <v>96</v>
      </c>
      <c r="C61" s="145" t="str">
        <f>'МРСК 2'!C64</f>
        <v>40+48</v>
      </c>
      <c r="D61" s="145">
        <v>42786</v>
      </c>
      <c r="E61" s="145">
        <v>13076</v>
      </c>
      <c r="F61" s="120">
        <f t="shared" si="5"/>
        <v>44.739507954379654</v>
      </c>
      <c r="G61" s="148">
        <v>0</v>
      </c>
      <c r="H61" s="147">
        <v>120</v>
      </c>
      <c r="I61" s="148">
        <f t="shared" si="6"/>
        <v>44.739507954379654</v>
      </c>
      <c r="J61" s="146">
        <v>0</v>
      </c>
      <c r="K61" s="153">
        <v>42</v>
      </c>
      <c r="L61" s="120">
        <v>-2.739507954379654</v>
      </c>
      <c r="M61" s="148">
        <f>MIN(L61:L61)</f>
        <v>-2.739507954379654</v>
      </c>
      <c r="N61" s="34"/>
      <c r="P61" s="14">
        <v>35</v>
      </c>
      <c r="Q61" s="209" t="s">
        <v>96</v>
      </c>
      <c r="R61" s="145" t="str">
        <f>'МРСК 2'!C64</f>
        <v>40+48</v>
      </c>
      <c r="S61" s="145">
        <f>'МРСК 2'!D64</f>
        <v>0.747</v>
      </c>
      <c r="T61" s="146">
        <f>'МРСК 2'!E64</f>
        <v>45.486507954379654</v>
      </c>
      <c r="U61" s="148">
        <f>'МРСК 2'!F64</f>
        <v>0</v>
      </c>
      <c r="V61" s="147">
        <f>'МРСК 2'!G64</f>
        <v>120</v>
      </c>
      <c r="W61" s="148">
        <f>'МРСК 2'!H64</f>
        <v>45.486507954379654</v>
      </c>
      <c r="X61" s="146">
        <f>'МРСК 2'!I64</f>
        <v>0</v>
      </c>
      <c r="Y61" s="170">
        <f>'МРСК 2'!J64</f>
        <v>42</v>
      </c>
      <c r="Z61" s="148">
        <f>'МРСК 2'!K64</f>
        <v>-3.486507954379654</v>
      </c>
      <c r="AA61" s="46" t="e">
        <f>'МРСК 2'!L64:L66</f>
        <v>#VALUE!</v>
      </c>
      <c r="AB61" s="34"/>
    </row>
    <row r="62" spans="1:28" ht="21" thickBot="1" thickTop="1">
      <c r="A62" s="82">
        <v>36</v>
      </c>
      <c r="B62" s="210" t="s">
        <v>97</v>
      </c>
      <c r="C62" s="84" t="str">
        <f>'МРСК 2'!C65</f>
        <v>16+16</v>
      </c>
      <c r="D62" s="84">
        <f>D63+D64</f>
        <v>11354</v>
      </c>
      <c r="E62" s="84">
        <f>E63+E64</f>
        <v>4570</v>
      </c>
      <c r="F62" s="105">
        <f t="shared" si="5"/>
        <v>12.239208144320449</v>
      </c>
      <c r="G62" s="85">
        <v>11.433</v>
      </c>
      <c r="H62" s="86">
        <v>120</v>
      </c>
      <c r="I62" s="87">
        <f t="shared" si="6"/>
        <v>0.8062081443204487</v>
      </c>
      <c r="J62" s="87">
        <v>0</v>
      </c>
      <c r="K62" s="87">
        <v>16.8</v>
      </c>
      <c r="L62" s="103">
        <v>15.993791855679552</v>
      </c>
      <c r="M62" s="238">
        <f>MIN(L62:L64)</f>
        <v>4.846203387902439</v>
      </c>
      <c r="N62" s="88"/>
      <c r="P62" s="82">
        <v>36</v>
      </c>
      <c r="Q62" s="210" t="s">
        <v>97</v>
      </c>
      <c r="R62" s="84" t="str">
        <f>'МРСК 2'!C65</f>
        <v>16+16</v>
      </c>
      <c r="S62" s="84">
        <f>'МРСК 2'!D65</f>
        <v>0</v>
      </c>
      <c r="T62" s="101">
        <f>'МРСК 2'!E65</f>
        <v>12.239208144320449</v>
      </c>
      <c r="U62" s="85">
        <f>'МРСК 2'!F65</f>
        <v>11.433</v>
      </c>
      <c r="V62" s="86">
        <f>'МРСК 2'!G65</f>
        <v>120</v>
      </c>
      <c r="W62" s="87">
        <f>'МРСК 2'!H65</f>
        <v>0.8062081443204487</v>
      </c>
      <c r="X62" s="87">
        <f>'МРСК 2'!I65</f>
        <v>0</v>
      </c>
      <c r="Y62" s="87">
        <f>'МРСК 2'!J65</f>
        <v>16.8</v>
      </c>
      <c r="Z62" s="103">
        <f>'МРСК 2'!K65</f>
        <v>15.993791855679552</v>
      </c>
      <c r="AA62" s="238">
        <v>4.8182033879024395</v>
      </c>
      <c r="AB62" s="88"/>
    </row>
    <row r="63" spans="1:28" ht="21" thickBot="1" thickTop="1">
      <c r="A63" s="14"/>
      <c r="B63" s="210" t="s">
        <v>59</v>
      </c>
      <c r="C63" s="84" t="str">
        <f>'МРСК 2'!C66</f>
        <v>16+8</v>
      </c>
      <c r="D63" s="8">
        <v>4826</v>
      </c>
      <c r="E63" s="8">
        <v>2482</v>
      </c>
      <c r="F63" s="105">
        <f t="shared" si="5"/>
        <v>5.426840701550028</v>
      </c>
      <c r="G63" s="33">
        <v>8.133</v>
      </c>
      <c r="H63" s="47"/>
      <c r="I63" s="15">
        <f t="shared" si="6"/>
        <v>-2.706159298449971</v>
      </c>
      <c r="J63" s="15">
        <v>0</v>
      </c>
      <c r="K63" s="31">
        <v>8.4</v>
      </c>
      <c r="L63" s="46">
        <v>11.10615929844997</v>
      </c>
      <c r="M63" s="236"/>
      <c r="N63" s="34"/>
      <c r="P63" s="14"/>
      <c r="Q63" s="210" t="s">
        <v>59</v>
      </c>
      <c r="R63" s="84" t="str">
        <f>'МРСК 2'!C66</f>
        <v>16+8</v>
      </c>
      <c r="S63" s="8">
        <f>'МРСК 2'!D66</f>
        <v>0</v>
      </c>
      <c r="T63" s="99">
        <f>'МРСК 2'!E66</f>
        <v>5.426840701550028</v>
      </c>
      <c r="U63" s="33">
        <f>'МРСК 2'!F66</f>
        <v>8.133</v>
      </c>
      <c r="V63" s="47">
        <f>'МРСК 2'!G66</f>
        <v>0</v>
      </c>
      <c r="W63" s="15">
        <f>'МРСК 2'!H66</f>
        <v>-2.706159298449971</v>
      </c>
      <c r="X63" s="15">
        <f>'МРСК 2'!I66</f>
        <v>0</v>
      </c>
      <c r="Y63" s="15">
        <f>'МРСК 2'!J66</f>
        <v>8.4</v>
      </c>
      <c r="Z63" s="46">
        <f>'МРСК 2'!K66</f>
        <v>11.10615929844997</v>
      </c>
      <c r="AA63" s="236"/>
      <c r="AB63" s="34"/>
    </row>
    <row r="64" spans="1:28" ht="21" thickBot="1" thickTop="1">
      <c r="A64" s="74"/>
      <c r="B64" s="210" t="s">
        <v>60</v>
      </c>
      <c r="C64" s="84" t="str">
        <f>'МРСК 2'!C67</f>
        <v>16+8</v>
      </c>
      <c r="D64" s="75">
        <v>6528</v>
      </c>
      <c r="E64" s="75">
        <v>2088</v>
      </c>
      <c r="F64" s="105">
        <f t="shared" si="5"/>
        <v>6.853796612097561</v>
      </c>
      <c r="G64" s="77">
        <v>3.3</v>
      </c>
      <c r="H64" s="78"/>
      <c r="I64" s="79">
        <f t="shared" si="6"/>
        <v>3.5537966120975613</v>
      </c>
      <c r="J64" s="79">
        <v>0</v>
      </c>
      <c r="K64" s="80">
        <v>8.4</v>
      </c>
      <c r="L64" s="76">
        <v>4.846203387902439</v>
      </c>
      <c r="M64" s="237"/>
      <c r="N64" s="81"/>
      <c r="P64" s="74"/>
      <c r="Q64" s="210" t="s">
        <v>60</v>
      </c>
      <c r="R64" s="84" t="str">
        <f>'МРСК 2'!C67</f>
        <v>16+8</v>
      </c>
      <c r="S64" s="75">
        <f>'МРСК 2'!D67</f>
        <v>0.038</v>
      </c>
      <c r="T64" s="100">
        <f>'МРСК 2'!E67</f>
        <v>6.891796612097561</v>
      </c>
      <c r="U64" s="77">
        <f>'МРСК 2'!F67</f>
        <v>3.3</v>
      </c>
      <c r="V64" s="78">
        <f>'МРСК 2'!G67</f>
        <v>0</v>
      </c>
      <c r="W64" s="79">
        <f>'МРСК 2'!H67</f>
        <v>3.5917966120975615</v>
      </c>
      <c r="X64" s="79">
        <f>'МРСК 2'!I67</f>
        <v>0</v>
      </c>
      <c r="Y64" s="79">
        <f>'МРСК 2'!J67</f>
        <v>8.4</v>
      </c>
      <c r="Z64" s="76">
        <f>'МРСК 2'!K67</f>
        <v>4.808203387902439</v>
      </c>
      <c r="AA64" s="237"/>
      <c r="AB64" s="81"/>
    </row>
    <row r="65" spans="1:28" ht="20.25" thickTop="1">
      <c r="A65" s="82">
        <v>37</v>
      </c>
      <c r="B65" s="210" t="s">
        <v>98</v>
      </c>
      <c r="C65" s="84" t="str">
        <f>'МРСК 2'!C68</f>
        <v>10+10</v>
      </c>
      <c r="D65" s="84">
        <f>D66+D67</f>
        <v>9651</v>
      </c>
      <c r="E65" s="84">
        <f>E66+E67</f>
        <v>3834</v>
      </c>
      <c r="F65" s="105">
        <f t="shared" si="5"/>
        <v>10.384669325500932</v>
      </c>
      <c r="G65" s="85">
        <v>11.5</v>
      </c>
      <c r="H65" s="86">
        <v>120</v>
      </c>
      <c r="I65" s="87">
        <f t="shared" si="6"/>
        <v>-1.1153306744990683</v>
      </c>
      <c r="J65" s="87">
        <v>0</v>
      </c>
      <c r="K65" s="87">
        <v>10.5</v>
      </c>
      <c r="L65" s="103">
        <v>11.615330674499068</v>
      </c>
      <c r="M65" s="238">
        <f>MIN(L65:L67)</f>
        <v>9.488687952410267</v>
      </c>
      <c r="N65" s="88"/>
      <c r="P65" s="82">
        <v>37</v>
      </c>
      <c r="Q65" s="210" t="s">
        <v>98</v>
      </c>
      <c r="R65" s="84" t="str">
        <f>'МРСК 2'!C68</f>
        <v>10+10</v>
      </c>
      <c r="S65" s="84">
        <f>'МРСК 2'!D68</f>
        <v>0</v>
      </c>
      <c r="T65" s="101">
        <f>'МРСК 2'!E68</f>
        <v>10.384669325500932</v>
      </c>
      <c r="U65" s="85">
        <f>'МРСК 2'!F68</f>
        <v>11.5</v>
      </c>
      <c r="V65" s="86">
        <f>'МРСК 2'!G68</f>
        <v>120</v>
      </c>
      <c r="W65" s="87">
        <f>'МРСК 2'!H68</f>
        <v>-1.1153306744990683</v>
      </c>
      <c r="X65" s="87">
        <f>'МРСК 2'!I68</f>
        <v>0</v>
      </c>
      <c r="Y65" s="87">
        <f>'МРСК 2'!J68</f>
        <v>10.5</v>
      </c>
      <c r="Z65" s="103">
        <f>'МРСК 2'!K68</f>
        <v>11.615330674499068</v>
      </c>
      <c r="AA65" s="238">
        <v>9.488687952410267</v>
      </c>
      <c r="AB65" s="88"/>
    </row>
    <row r="66" spans="1:28" ht="19.5">
      <c r="A66" s="14"/>
      <c r="B66" s="210" t="s">
        <v>59</v>
      </c>
      <c r="C66" s="8" t="str">
        <f>'МРСК 2'!C69</f>
        <v>10+10</v>
      </c>
      <c r="D66" s="8">
        <v>8148</v>
      </c>
      <c r="E66" s="8">
        <v>3354</v>
      </c>
      <c r="F66" s="105">
        <f t="shared" si="5"/>
        <v>8.811312047589734</v>
      </c>
      <c r="G66" s="33">
        <v>7.8</v>
      </c>
      <c r="H66" s="47"/>
      <c r="I66" s="15">
        <f t="shared" si="6"/>
        <v>1.0113120475897341</v>
      </c>
      <c r="J66" s="15">
        <v>0</v>
      </c>
      <c r="K66" s="31">
        <v>10.5</v>
      </c>
      <c r="L66" s="46">
        <v>9.488687952410267</v>
      </c>
      <c r="M66" s="236"/>
      <c r="N66" s="34"/>
      <c r="P66" s="14"/>
      <c r="Q66" s="210" t="s">
        <v>59</v>
      </c>
      <c r="R66" s="8" t="str">
        <f>'МРСК 2'!C69</f>
        <v>10+10</v>
      </c>
      <c r="S66" s="8">
        <f>'МРСК 2'!D69</f>
        <v>0</v>
      </c>
      <c r="T66" s="99">
        <f>'МРСК 2'!E69</f>
        <v>8.811312047589734</v>
      </c>
      <c r="U66" s="33">
        <f>'МРСК 2'!F69</f>
        <v>7.8</v>
      </c>
      <c r="V66" s="47">
        <f>'МРСК 2'!G69</f>
        <v>0</v>
      </c>
      <c r="W66" s="15">
        <f>'МРСК 2'!H69</f>
        <v>1.0113120475897341</v>
      </c>
      <c r="X66" s="15">
        <f>'МРСК 2'!I69</f>
        <v>0</v>
      </c>
      <c r="Y66" s="15">
        <f>'МРСК 2'!J69</f>
        <v>10.5</v>
      </c>
      <c r="Z66" s="46">
        <f>'МРСК 2'!K69</f>
        <v>9.488687952410267</v>
      </c>
      <c r="AA66" s="236"/>
      <c r="AB66" s="34"/>
    </row>
    <row r="67" spans="1:28" ht="20.25" thickBot="1">
      <c r="A67" s="74"/>
      <c r="B67" s="210" t="s">
        <v>60</v>
      </c>
      <c r="C67" s="75" t="str">
        <f>'МРСК 2'!C70</f>
        <v>10+10</v>
      </c>
      <c r="D67" s="75">
        <v>1503</v>
      </c>
      <c r="E67" s="75">
        <v>480</v>
      </c>
      <c r="F67" s="105">
        <f t="shared" si="5"/>
        <v>1.5777861071767618</v>
      </c>
      <c r="G67" s="77">
        <v>3.7</v>
      </c>
      <c r="H67" s="78"/>
      <c r="I67" s="79">
        <f t="shared" si="6"/>
        <v>-2.1222138928232384</v>
      </c>
      <c r="J67" s="79">
        <v>0</v>
      </c>
      <c r="K67" s="80">
        <v>10.5</v>
      </c>
      <c r="L67" s="76">
        <v>12.622213892823238</v>
      </c>
      <c r="M67" s="237"/>
      <c r="N67" s="81"/>
      <c r="P67" s="74"/>
      <c r="Q67" s="210" t="s">
        <v>60</v>
      </c>
      <c r="R67" s="75" t="str">
        <f>'МРСК 2'!C70</f>
        <v>10+10</v>
      </c>
      <c r="S67" s="75">
        <f>'МРСК 2'!D70</f>
        <v>0</v>
      </c>
      <c r="T67" s="100">
        <f>'МРСК 2'!E70</f>
        <v>1.5777861071767618</v>
      </c>
      <c r="U67" s="77">
        <f>'МРСК 2'!F70</f>
        <v>3.7</v>
      </c>
      <c r="V67" s="78">
        <f>'МРСК 2'!G70</f>
        <v>0</v>
      </c>
      <c r="W67" s="79">
        <f>'МРСК 2'!H70</f>
        <v>-2.1222138928232384</v>
      </c>
      <c r="X67" s="79">
        <f>'МРСК 2'!I70</f>
        <v>0</v>
      </c>
      <c r="Y67" s="79">
        <f>'МРСК 2'!J70</f>
        <v>10.5</v>
      </c>
      <c r="Z67" s="76">
        <f>'МРСК 2'!K70</f>
        <v>12.622213892823238</v>
      </c>
      <c r="AA67" s="237"/>
      <c r="AB67" s="81"/>
    </row>
    <row r="68" spans="1:28" ht="20.25" thickTop="1">
      <c r="A68" s="82">
        <v>38</v>
      </c>
      <c r="B68" s="210" t="s">
        <v>99</v>
      </c>
      <c r="C68" s="84" t="str">
        <f>'МРСК 2'!C71</f>
        <v>10+10</v>
      </c>
      <c r="D68" s="84">
        <f>D69+D70</f>
        <v>9151</v>
      </c>
      <c r="E68" s="84">
        <f>E69+E70</f>
        <v>3160</v>
      </c>
      <c r="F68" s="105">
        <f t="shared" si="5"/>
        <v>9.681239641698784</v>
      </c>
      <c r="G68" s="85">
        <v>8.83</v>
      </c>
      <c r="H68" s="86">
        <v>120</v>
      </c>
      <c r="I68" s="87">
        <f t="shared" si="6"/>
        <v>0.8512396416987844</v>
      </c>
      <c r="J68" s="87">
        <v>0</v>
      </c>
      <c r="K68" s="87">
        <v>10.5</v>
      </c>
      <c r="L68" s="103">
        <v>9.648760358301216</v>
      </c>
      <c r="M68" s="238">
        <f>MIN(L68:L70)</f>
        <v>9.121880368864769</v>
      </c>
      <c r="N68" s="88"/>
      <c r="P68" s="82">
        <v>38</v>
      </c>
      <c r="Q68" s="210" t="s">
        <v>99</v>
      </c>
      <c r="R68" s="84" t="str">
        <f>'МРСК 2'!C71</f>
        <v>10+10</v>
      </c>
      <c r="S68" s="84">
        <f>'МРСК 2'!D71</f>
        <v>0.015</v>
      </c>
      <c r="T68" s="101">
        <f>'МРСК 2'!E71</f>
        <v>9.696239641698785</v>
      </c>
      <c r="U68" s="85">
        <f>'МРСК 2'!F71</f>
        <v>8.83</v>
      </c>
      <c r="V68" s="86">
        <f>'МРСК 2'!G71</f>
        <v>120</v>
      </c>
      <c r="W68" s="87">
        <f>'МРСК 2'!H71</f>
        <v>0.866239641698785</v>
      </c>
      <c r="X68" s="87">
        <f>'МРСК 2'!I71</f>
        <v>0</v>
      </c>
      <c r="Y68" s="87">
        <f>'МРСК 2'!J71</f>
        <v>10.5</v>
      </c>
      <c r="Z68" s="103">
        <f>'МРСК 2'!K71</f>
        <v>9.633760358301215</v>
      </c>
      <c r="AA68" s="238">
        <v>9.121880368864769</v>
      </c>
      <c r="AB68" s="88"/>
    </row>
    <row r="69" spans="1:28" ht="19.5">
      <c r="A69" s="14"/>
      <c r="B69" s="210" t="s">
        <v>59</v>
      </c>
      <c r="C69" s="8" t="str">
        <f>'МРСК 2'!C72</f>
        <v>10+10</v>
      </c>
      <c r="D69" s="8">
        <v>4999</v>
      </c>
      <c r="E69" s="8">
        <v>1858</v>
      </c>
      <c r="F69" s="105">
        <f t="shared" si="5"/>
        <v>5.333119631135232</v>
      </c>
      <c r="G69" s="33">
        <v>3.955</v>
      </c>
      <c r="H69" s="47"/>
      <c r="I69" s="15">
        <f t="shared" si="6"/>
        <v>1.378119631135232</v>
      </c>
      <c r="J69" s="15">
        <v>0</v>
      </c>
      <c r="K69" s="31">
        <v>10.5</v>
      </c>
      <c r="L69" s="46">
        <v>9.121880368864769</v>
      </c>
      <c r="M69" s="236"/>
      <c r="N69" s="34"/>
      <c r="P69" s="14"/>
      <c r="Q69" s="210" t="s">
        <v>59</v>
      </c>
      <c r="R69" s="8" t="str">
        <f>'МРСК 2'!C72</f>
        <v>10+10</v>
      </c>
      <c r="S69" s="8">
        <f>'МРСК 2'!D72</f>
        <v>0</v>
      </c>
      <c r="T69" s="99">
        <f>'МРСК 2'!E72</f>
        <v>5.333119631135232</v>
      </c>
      <c r="U69" s="33">
        <f>'МРСК 2'!F72</f>
        <v>3.955</v>
      </c>
      <c r="V69" s="47">
        <f>'МРСК 2'!G72</f>
        <v>0</v>
      </c>
      <c r="W69" s="15">
        <f>'МРСК 2'!H72</f>
        <v>1.378119631135232</v>
      </c>
      <c r="X69" s="15">
        <f>'МРСК 2'!I72</f>
        <v>0</v>
      </c>
      <c r="Y69" s="15">
        <f>'МРСК 2'!J72</f>
        <v>10.5</v>
      </c>
      <c r="Z69" s="46">
        <f>'МРСК 2'!K72</f>
        <v>9.121880368864769</v>
      </c>
      <c r="AA69" s="236"/>
      <c r="AB69" s="34"/>
    </row>
    <row r="70" spans="1:28" ht="20.25" thickBot="1">
      <c r="A70" s="74"/>
      <c r="B70" s="210" t="s">
        <v>60</v>
      </c>
      <c r="C70" s="75" t="str">
        <f>'МРСК 2'!C73</f>
        <v>10+10</v>
      </c>
      <c r="D70" s="75">
        <v>4152</v>
      </c>
      <c r="E70" s="75">
        <v>1302</v>
      </c>
      <c r="F70" s="105">
        <f t="shared" si="5"/>
        <v>4.351357029709237</v>
      </c>
      <c r="G70" s="77">
        <v>4.875</v>
      </c>
      <c r="H70" s="78"/>
      <c r="I70" s="79">
        <f t="shared" si="6"/>
        <v>-0.523642970290763</v>
      </c>
      <c r="J70" s="79">
        <v>0</v>
      </c>
      <c r="K70" s="80">
        <v>10.5</v>
      </c>
      <c r="L70" s="76">
        <v>11.023642970290762</v>
      </c>
      <c r="M70" s="237"/>
      <c r="N70" s="81"/>
      <c r="P70" s="74"/>
      <c r="Q70" s="210" t="s">
        <v>60</v>
      </c>
      <c r="R70" s="75" t="str">
        <f>'МРСК 2'!C73</f>
        <v>10+10</v>
      </c>
      <c r="S70" s="75">
        <f>'МРСК 2'!D73</f>
        <v>0.015</v>
      </c>
      <c r="T70" s="100">
        <f>'МРСК 2'!E73</f>
        <v>4.366357029709237</v>
      </c>
      <c r="U70" s="77">
        <f>'МРСК 2'!F73</f>
        <v>4.875</v>
      </c>
      <c r="V70" s="78">
        <f>'МРСК 2'!G73</f>
        <v>0</v>
      </c>
      <c r="W70" s="79">
        <f>'МРСК 2'!H73</f>
        <v>-0.5086429702907633</v>
      </c>
      <c r="X70" s="79">
        <f>'МРСК 2'!I73</f>
        <v>0</v>
      </c>
      <c r="Y70" s="79">
        <f>'МРСК 2'!J73</f>
        <v>10.5</v>
      </c>
      <c r="Z70" s="76">
        <f>'МРСК 2'!K73</f>
        <v>11.008642970290763</v>
      </c>
      <c r="AA70" s="237"/>
      <c r="AB70" s="81"/>
    </row>
    <row r="71" spans="1:28" ht="21" thickBot="1" thickTop="1">
      <c r="A71" s="14">
        <v>39</v>
      </c>
      <c r="B71" s="210" t="s">
        <v>100</v>
      </c>
      <c r="C71" s="47" t="str">
        <f>'МРСК 2'!C74</f>
        <v>25+25</v>
      </c>
      <c r="D71" s="47">
        <v>13429</v>
      </c>
      <c r="E71" s="47">
        <v>6832</v>
      </c>
      <c r="F71" s="105">
        <f t="shared" si="5"/>
        <v>15.066992566534305</v>
      </c>
      <c r="G71" s="46">
        <v>1.46</v>
      </c>
      <c r="H71" s="16">
        <v>45</v>
      </c>
      <c r="I71" s="46">
        <f t="shared" si="6"/>
        <v>13.606992566534306</v>
      </c>
      <c r="J71" s="15">
        <v>0</v>
      </c>
      <c r="K71" s="45">
        <v>26.25</v>
      </c>
      <c r="L71" s="105">
        <v>12.643007433465694</v>
      </c>
      <c r="M71" s="46">
        <f>MIN(L71:L71)</f>
        <v>12.643007433465694</v>
      </c>
      <c r="N71" s="34"/>
      <c r="P71" s="14">
        <v>39</v>
      </c>
      <c r="Q71" s="210" t="s">
        <v>100</v>
      </c>
      <c r="R71" s="47" t="str">
        <f>'МРСК 2'!C74</f>
        <v>25+25</v>
      </c>
      <c r="S71" s="47">
        <f>'МРСК 2'!D74</f>
        <v>3.656</v>
      </c>
      <c r="T71" s="15">
        <f>'МРСК 2'!E74</f>
        <v>18.722992566534305</v>
      </c>
      <c r="U71" s="46">
        <f>'МРСК 2'!F74</f>
        <v>1.46</v>
      </c>
      <c r="V71" s="16">
        <f>'МРСК 2'!G74</f>
        <v>45</v>
      </c>
      <c r="W71" s="46">
        <f>'МРСК 2'!H74</f>
        <v>17.262992566534304</v>
      </c>
      <c r="X71" s="15">
        <f>'МРСК 2'!I74</f>
        <v>0</v>
      </c>
      <c r="Y71" s="48">
        <f>'МРСК 2'!J74</f>
        <v>26.25</v>
      </c>
      <c r="Z71" s="46">
        <f>'МРСК 2'!K74</f>
        <v>8.987007433465696</v>
      </c>
      <c r="AA71" s="46" t="e">
        <f>'МРСК 2'!L74:L76</f>
        <v>#VALUE!</v>
      </c>
      <c r="AB71" s="34"/>
    </row>
    <row r="72" spans="1:28" ht="20.25" thickTop="1">
      <c r="A72" s="82">
        <v>40</v>
      </c>
      <c r="B72" s="210" t="s">
        <v>101</v>
      </c>
      <c r="C72" s="84" t="str">
        <f>'МРСК 2'!C75</f>
        <v>25+25</v>
      </c>
      <c r="D72" s="84">
        <f>D73+D74</f>
        <v>18812</v>
      </c>
      <c r="E72" s="84">
        <f>E73+E74</f>
        <v>6807</v>
      </c>
      <c r="F72" s="105">
        <f t="shared" si="5"/>
        <v>20.005664022971093</v>
      </c>
      <c r="G72" s="85">
        <v>10.651</v>
      </c>
      <c r="H72" s="86">
        <v>120</v>
      </c>
      <c r="I72" s="87">
        <f t="shared" si="6"/>
        <v>9.354664022971093</v>
      </c>
      <c r="J72" s="87">
        <v>0</v>
      </c>
      <c r="K72" s="87">
        <v>26.25</v>
      </c>
      <c r="L72" s="103">
        <v>16.895335977028907</v>
      </c>
      <c r="M72" s="238">
        <f>MIN(L72:L74)</f>
        <v>16.895335977028907</v>
      </c>
      <c r="N72" s="88"/>
      <c r="P72" s="82">
        <v>40</v>
      </c>
      <c r="Q72" s="210" t="s">
        <v>101</v>
      </c>
      <c r="R72" s="84" t="str">
        <f>'МРСК 2'!C75</f>
        <v>25+25</v>
      </c>
      <c r="S72" s="84">
        <f>'МРСК 2'!D75</f>
        <v>0.223</v>
      </c>
      <c r="T72" s="101">
        <f>'МРСК 2'!E75</f>
        <v>20.228664022971092</v>
      </c>
      <c r="U72" s="85">
        <f>'МРСК 2'!F75</f>
        <v>10.651</v>
      </c>
      <c r="V72" s="86">
        <f>'МРСК 2'!G75</f>
        <v>120</v>
      </c>
      <c r="W72" s="87">
        <f>'МРСК 2'!H75</f>
        <v>9.577664022971092</v>
      </c>
      <c r="X72" s="87">
        <f>'МРСК 2'!I75</f>
        <v>0</v>
      </c>
      <c r="Y72" s="87">
        <f>'МРСК 2'!J75</f>
        <v>26.25</v>
      </c>
      <c r="Z72" s="103">
        <f>'МРСК 2'!K75</f>
        <v>16.672335977028908</v>
      </c>
      <c r="AA72" s="238" t="e">
        <f>'МРСК 2'!L75:L77</f>
        <v>#VALUE!</v>
      </c>
      <c r="AB72" s="88"/>
    </row>
    <row r="73" spans="1:28" ht="19.5">
      <c r="A73" s="14"/>
      <c r="B73" s="210" t="s">
        <v>59</v>
      </c>
      <c r="C73" s="8" t="str">
        <f>'МРСК 2'!C76</f>
        <v>25+25</v>
      </c>
      <c r="D73" s="8">
        <v>10517</v>
      </c>
      <c r="E73" s="8">
        <v>4038</v>
      </c>
      <c r="F73" s="105">
        <f t="shared" si="5"/>
        <v>11.26555515720375</v>
      </c>
      <c r="G73" s="33">
        <v>8.576</v>
      </c>
      <c r="H73" s="47"/>
      <c r="I73" s="15">
        <f t="shared" si="6"/>
        <v>2.689555157203749</v>
      </c>
      <c r="J73" s="15">
        <v>0</v>
      </c>
      <c r="K73" s="31">
        <v>26.25</v>
      </c>
      <c r="L73" s="46">
        <v>23.56044484279625</v>
      </c>
      <c r="M73" s="236"/>
      <c r="N73" s="34"/>
      <c r="P73" s="14"/>
      <c r="Q73" s="210" t="s">
        <v>59</v>
      </c>
      <c r="R73" s="8" t="str">
        <f>'МРСК 2'!C76</f>
        <v>25+25</v>
      </c>
      <c r="S73" s="8">
        <f>'МРСК 2'!D76</f>
        <v>0</v>
      </c>
      <c r="T73" s="99">
        <f>'МРСК 2'!E76</f>
        <v>11.26555515720375</v>
      </c>
      <c r="U73" s="33">
        <f>'МРСК 2'!F76</f>
        <v>8.576</v>
      </c>
      <c r="V73" s="47">
        <f>'МРСК 2'!G76</f>
        <v>0</v>
      </c>
      <c r="W73" s="15">
        <f>'МРСК 2'!H76</f>
        <v>2.689555157203749</v>
      </c>
      <c r="X73" s="15">
        <f>'МРСК 2'!I76</f>
        <v>0</v>
      </c>
      <c r="Y73" s="15">
        <f>'МРСК 2'!J76</f>
        <v>26.25</v>
      </c>
      <c r="Z73" s="46">
        <f>'МРСК 2'!K76</f>
        <v>23.56044484279625</v>
      </c>
      <c r="AA73" s="236"/>
      <c r="AB73" s="34"/>
    </row>
    <row r="74" spans="1:28" ht="20.25" thickBot="1">
      <c r="A74" s="74"/>
      <c r="B74" s="210" t="s">
        <v>60</v>
      </c>
      <c r="C74" s="75" t="str">
        <f>'МРСК 2'!C77</f>
        <v>25+25</v>
      </c>
      <c r="D74" s="75">
        <v>8295</v>
      </c>
      <c r="E74" s="75">
        <v>2769</v>
      </c>
      <c r="F74" s="105">
        <f t="shared" si="5"/>
        <v>8.744963464760731</v>
      </c>
      <c r="G74" s="77">
        <v>2.075</v>
      </c>
      <c r="H74" s="78"/>
      <c r="I74" s="79">
        <f t="shared" si="6"/>
        <v>6.669963464760731</v>
      </c>
      <c r="J74" s="79">
        <v>0</v>
      </c>
      <c r="K74" s="80">
        <v>26.25</v>
      </c>
      <c r="L74" s="76">
        <v>19.58003653523927</v>
      </c>
      <c r="M74" s="237"/>
      <c r="N74" s="81"/>
      <c r="P74" s="74"/>
      <c r="Q74" s="210" t="s">
        <v>60</v>
      </c>
      <c r="R74" s="75" t="str">
        <f>'МРСК 2'!C77</f>
        <v>25+25</v>
      </c>
      <c r="S74" s="75">
        <f>'МРСК 2'!D77</f>
        <v>0.223</v>
      </c>
      <c r="T74" s="100">
        <f>'МРСК 2'!E77</f>
        <v>8.967963464760732</v>
      </c>
      <c r="U74" s="77">
        <f>'МРСК 2'!F77</f>
        <v>2.075</v>
      </c>
      <c r="V74" s="78">
        <f>'МРСК 2'!G77</f>
        <v>0</v>
      </c>
      <c r="W74" s="79">
        <f>'МРСК 2'!H77</f>
        <v>6.892963464760732</v>
      </c>
      <c r="X74" s="79">
        <f>'МРСК 2'!I77</f>
        <v>0</v>
      </c>
      <c r="Y74" s="79">
        <f>'МРСК 2'!J77</f>
        <v>26.25</v>
      </c>
      <c r="Z74" s="76">
        <f>'МРСК 2'!K77</f>
        <v>19.357036535239267</v>
      </c>
      <c r="AA74" s="237"/>
      <c r="AB74" s="81"/>
    </row>
    <row r="75" spans="1:28" ht="20.25" thickTop="1">
      <c r="A75" s="82">
        <v>41</v>
      </c>
      <c r="B75" s="210" t="s">
        <v>102</v>
      </c>
      <c r="C75" s="84" t="str">
        <f>'МРСК 2'!C78</f>
        <v>25+25</v>
      </c>
      <c r="D75" s="84">
        <f>D76+D77</f>
        <v>37165</v>
      </c>
      <c r="E75" s="84">
        <f>E76+E77</f>
        <v>16321</v>
      </c>
      <c r="F75" s="105">
        <f t="shared" si="5"/>
        <v>40.5907904086629</v>
      </c>
      <c r="G75" s="85">
        <v>25.07</v>
      </c>
      <c r="H75" s="86">
        <v>120</v>
      </c>
      <c r="I75" s="87">
        <f t="shared" si="6"/>
        <v>15.520790408662897</v>
      </c>
      <c r="J75" s="87">
        <v>0</v>
      </c>
      <c r="K75" s="87">
        <v>26.25</v>
      </c>
      <c r="L75" s="103">
        <v>10.729209591337103</v>
      </c>
      <c r="M75" s="238">
        <f>MIN(L75:L77)</f>
        <v>6.291394457322191</v>
      </c>
      <c r="N75" s="88"/>
      <c r="P75" s="82">
        <v>41</v>
      </c>
      <c r="Q75" s="210" t="s">
        <v>102</v>
      </c>
      <c r="R75" s="84" t="str">
        <f>'МРСК 2'!C78</f>
        <v>25+25</v>
      </c>
      <c r="S75" s="84">
        <f>'МРСК 2'!D78</f>
        <v>1.8005</v>
      </c>
      <c r="T75" s="101">
        <f>'МРСК 2'!E78</f>
        <v>42.3912904086629</v>
      </c>
      <c r="U75" s="85">
        <f>'МРСК 2'!F78</f>
        <v>25.07</v>
      </c>
      <c r="V75" s="86">
        <f>'МРСК 2'!G78</f>
        <v>120</v>
      </c>
      <c r="W75" s="87">
        <f>'МРСК 2'!H78</f>
        <v>17.321290408662897</v>
      </c>
      <c r="X75" s="87">
        <f>'МРСК 2'!I78</f>
        <v>0</v>
      </c>
      <c r="Y75" s="87">
        <f>'МРСК 2'!J78</f>
        <v>26.25</v>
      </c>
      <c r="Z75" s="103">
        <f>'МРСК 2'!K78</f>
        <v>8.928709591337103</v>
      </c>
      <c r="AA75" s="238" t="e">
        <f>'МРСК 2'!L78:L80</f>
        <v>#VALUE!</v>
      </c>
      <c r="AB75" s="88"/>
    </row>
    <row r="76" spans="1:28" ht="19.5">
      <c r="A76" s="14"/>
      <c r="B76" s="210" t="s">
        <v>59</v>
      </c>
      <c r="C76" s="8" t="str">
        <f>'МРСК 2'!C79</f>
        <v>25+25</v>
      </c>
      <c r="D76" s="8">
        <v>16029</v>
      </c>
      <c r="E76" s="8">
        <v>5536</v>
      </c>
      <c r="F76" s="105">
        <f t="shared" si="5"/>
        <v>16.9580699668329</v>
      </c>
      <c r="G76" s="33">
        <v>21.3</v>
      </c>
      <c r="H76" s="47"/>
      <c r="I76" s="15">
        <f t="shared" si="6"/>
        <v>-4.3419300331671025</v>
      </c>
      <c r="J76" s="15">
        <v>0</v>
      </c>
      <c r="K76" s="31">
        <v>26.25</v>
      </c>
      <c r="L76" s="46">
        <v>30.591930033167102</v>
      </c>
      <c r="M76" s="236"/>
      <c r="N76" s="34"/>
      <c r="P76" s="14"/>
      <c r="Q76" s="210" t="s">
        <v>59</v>
      </c>
      <c r="R76" s="8" t="str">
        <f>'МРСК 2'!C79</f>
        <v>25+25</v>
      </c>
      <c r="S76" s="8">
        <f>'МРСК 2'!D79</f>
        <v>0</v>
      </c>
      <c r="T76" s="99">
        <f>'МРСК 2'!E79</f>
        <v>16.9580699668329</v>
      </c>
      <c r="U76" s="33">
        <f>'МРСК 2'!F79</f>
        <v>21.3</v>
      </c>
      <c r="V76" s="47">
        <f>'МРСК 2'!G79</f>
        <v>0</v>
      </c>
      <c r="W76" s="15">
        <f>'МРСК 2'!H79</f>
        <v>-4.3419300331671025</v>
      </c>
      <c r="X76" s="15">
        <f>'МРСК 2'!I79</f>
        <v>0</v>
      </c>
      <c r="Y76" s="15">
        <f>'МРСК 2'!J79</f>
        <v>26.25</v>
      </c>
      <c r="Z76" s="46">
        <f>'МРСК 2'!K79</f>
        <v>30.591930033167102</v>
      </c>
      <c r="AA76" s="236"/>
      <c r="AB76" s="34"/>
    </row>
    <row r="77" spans="1:28" ht="20.25" thickBot="1">
      <c r="A77" s="74"/>
      <c r="B77" s="210" t="s">
        <v>60</v>
      </c>
      <c r="C77" s="75" t="str">
        <f>'МРСК 2'!C80</f>
        <v>25+25</v>
      </c>
      <c r="D77" s="75">
        <v>21136</v>
      </c>
      <c r="E77" s="75">
        <v>10785</v>
      </c>
      <c r="F77" s="105">
        <f t="shared" si="5"/>
        <v>23.72860554267781</v>
      </c>
      <c r="G77" s="77">
        <v>3.77</v>
      </c>
      <c r="H77" s="78"/>
      <c r="I77" s="79">
        <f t="shared" si="6"/>
        <v>19.95860554267781</v>
      </c>
      <c r="J77" s="79">
        <v>0</v>
      </c>
      <c r="K77" s="80">
        <v>26.25</v>
      </c>
      <c r="L77" s="76">
        <v>6.291394457322191</v>
      </c>
      <c r="M77" s="237"/>
      <c r="N77" s="81"/>
      <c r="P77" s="74"/>
      <c r="Q77" s="210" t="s">
        <v>60</v>
      </c>
      <c r="R77" s="75" t="str">
        <f>'МРСК 2'!C80</f>
        <v>25+25</v>
      </c>
      <c r="S77" s="75">
        <f>'МРСК 2'!D80</f>
        <v>1.8005</v>
      </c>
      <c r="T77" s="100">
        <f>'МРСК 2'!E80</f>
        <v>25.529105542677808</v>
      </c>
      <c r="U77" s="77">
        <f>'МРСК 2'!F80</f>
        <v>3.77</v>
      </c>
      <c r="V77" s="78">
        <f>'МРСК 2'!G80</f>
        <v>0</v>
      </c>
      <c r="W77" s="79">
        <f>'МРСК 2'!H80</f>
        <v>21.75910554267781</v>
      </c>
      <c r="X77" s="79">
        <f>'МРСК 2'!I80</f>
        <v>0</v>
      </c>
      <c r="Y77" s="79">
        <f>'МРСК 2'!J80</f>
        <v>26.25</v>
      </c>
      <c r="Z77" s="76">
        <f>'МРСК 2'!K80</f>
        <v>4.490894457322192</v>
      </c>
      <c r="AA77" s="237"/>
      <c r="AB77" s="81"/>
    </row>
    <row r="78" spans="1:28" ht="20.25" thickTop="1">
      <c r="A78" s="82">
        <v>42</v>
      </c>
      <c r="B78" s="210" t="s">
        <v>103</v>
      </c>
      <c r="C78" s="84" t="str">
        <f>'МРСК 2'!C81</f>
        <v>25+25</v>
      </c>
      <c r="D78" s="84">
        <f>D79+D80</f>
        <v>2404</v>
      </c>
      <c r="E78" s="84">
        <f>E79+E80</f>
        <v>964</v>
      </c>
      <c r="F78" s="105">
        <f t="shared" si="5"/>
        <v>2.5900795354583224</v>
      </c>
      <c r="G78" s="85">
        <v>0</v>
      </c>
      <c r="H78" s="86"/>
      <c r="I78" s="87">
        <f t="shared" si="6"/>
        <v>2.5900795354583224</v>
      </c>
      <c r="J78" s="87">
        <v>0</v>
      </c>
      <c r="K78" s="87">
        <v>26.25</v>
      </c>
      <c r="L78" s="103">
        <v>23.659920464541678</v>
      </c>
      <c r="M78" s="238">
        <f>MIN(L78:L80)</f>
        <v>10.534920464541678</v>
      </c>
      <c r="N78" s="88"/>
      <c r="P78" s="82">
        <v>42</v>
      </c>
      <c r="Q78" s="210" t="s">
        <v>103</v>
      </c>
      <c r="R78" s="84" t="str">
        <f>'МРСК 2'!C81</f>
        <v>25+25</v>
      </c>
      <c r="S78" s="84">
        <f>'МРСК 2'!D81</f>
        <v>0.25</v>
      </c>
      <c r="T78" s="101">
        <f>'МРСК 2'!E81</f>
        <v>2.8400795354583224</v>
      </c>
      <c r="U78" s="85">
        <f>'МРСК 2'!F81</f>
        <v>0</v>
      </c>
      <c r="V78" s="86">
        <f>'МРСК 2'!G81</f>
        <v>0</v>
      </c>
      <c r="W78" s="87">
        <f>'МРСК 2'!H81</f>
        <v>2.8400795354583224</v>
      </c>
      <c r="X78" s="87">
        <f>'МРСК 2'!I81</f>
        <v>0</v>
      </c>
      <c r="Y78" s="87">
        <f>'МРСК 2'!J81</f>
        <v>26.25</v>
      </c>
      <c r="Z78" s="103">
        <f>'МРСК 2'!K81</f>
        <v>23.409920464541678</v>
      </c>
      <c r="AA78" s="238" t="e">
        <f>'МРСК 2'!L81:L83</f>
        <v>#VALUE!</v>
      </c>
      <c r="AB78" s="88"/>
    </row>
    <row r="79" spans="1:28" ht="19.5">
      <c r="A79" s="14"/>
      <c r="B79" s="210" t="s">
        <v>59</v>
      </c>
      <c r="C79" s="8" t="str">
        <f>'МРСК 2'!C82</f>
        <v>12,5+12,5</v>
      </c>
      <c r="D79" s="8">
        <v>0</v>
      </c>
      <c r="E79" s="8">
        <v>0</v>
      </c>
      <c r="F79" s="105">
        <f t="shared" si="5"/>
        <v>0</v>
      </c>
      <c r="G79" s="33">
        <v>0</v>
      </c>
      <c r="H79" s="47"/>
      <c r="I79" s="15">
        <f t="shared" si="6"/>
        <v>0</v>
      </c>
      <c r="J79" s="15">
        <v>0</v>
      </c>
      <c r="K79" s="31">
        <v>13.125</v>
      </c>
      <c r="L79" s="46">
        <v>13.125</v>
      </c>
      <c r="M79" s="236"/>
      <c r="N79" s="34"/>
      <c r="P79" s="14"/>
      <c r="Q79" s="210" t="s">
        <v>59</v>
      </c>
      <c r="R79" s="8" t="str">
        <f>'МРСК 2'!C82</f>
        <v>12,5+12,5</v>
      </c>
      <c r="S79" s="8">
        <f>'МРСК 2'!D82</f>
        <v>0</v>
      </c>
      <c r="T79" s="99">
        <f>'МРСК 2'!E82</f>
        <v>0</v>
      </c>
      <c r="U79" s="33">
        <f>'МРСК 2'!F82</f>
        <v>0</v>
      </c>
      <c r="V79" s="47">
        <f>'МРСК 2'!G82</f>
        <v>0</v>
      </c>
      <c r="W79" s="15">
        <f>'МРСК 2'!H82</f>
        <v>0</v>
      </c>
      <c r="X79" s="15">
        <f>'МРСК 2'!I82</f>
        <v>0</v>
      </c>
      <c r="Y79" s="15">
        <f>'МРСК 2'!J82</f>
        <v>13.125</v>
      </c>
      <c r="Z79" s="46">
        <f>'МРСК 2'!K82</f>
        <v>13.125</v>
      </c>
      <c r="AA79" s="236"/>
      <c r="AB79" s="34"/>
    </row>
    <row r="80" spans="1:28" ht="20.25" thickBot="1">
      <c r="A80" s="74"/>
      <c r="B80" s="210" t="s">
        <v>60</v>
      </c>
      <c r="C80" s="75" t="str">
        <f>'МРСК 2'!C83</f>
        <v>12,5+12,5</v>
      </c>
      <c r="D80" s="75">
        <v>2404</v>
      </c>
      <c r="E80" s="75">
        <v>964</v>
      </c>
      <c r="F80" s="105">
        <f t="shared" si="5"/>
        <v>2.5900795354583224</v>
      </c>
      <c r="G80" s="77">
        <v>0</v>
      </c>
      <c r="H80" s="78"/>
      <c r="I80" s="79">
        <f t="shared" si="6"/>
        <v>2.5900795354583224</v>
      </c>
      <c r="J80" s="79">
        <v>0</v>
      </c>
      <c r="K80" s="80">
        <v>13.125</v>
      </c>
      <c r="L80" s="76">
        <v>10.534920464541678</v>
      </c>
      <c r="M80" s="237"/>
      <c r="N80" s="81"/>
      <c r="P80" s="74"/>
      <c r="Q80" s="210" t="s">
        <v>60</v>
      </c>
      <c r="R80" s="75" t="str">
        <f>'МРСК 2'!C83</f>
        <v>12,5+12,5</v>
      </c>
      <c r="S80" s="75">
        <f>'МРСК 2'!D83</f>
        <v>0.25</v>
      </c>
      <c r="T80" s="100">
        <f>'МРСК 2'!E83</f>
        <v>2.8400795354583224</v>
      </c>
      <c r="U80" s="77">
        <f>'МРСК 2'!F83</f>
        <v>0</v>
      </c>
      <c r="V80" s="78">
        <f>'МРСК 2'!G83</f>
        <v>0</v>
      </c>
      <c r="W80" s="79">
        <f>'МРСК 2'!H83</f>
        <v>2.8400795354583224</v>
      </c>
      <c r="X80" s="79">
        <f>'МРСК 2'!I83</f>
        <v>0</v>
      </c>
      <c r="Y80" s="79">
        <f>'МРСК 2'!J83</f>
        <v>13.125</v>
      </c>
      <c r="Z80" s="76">
        <f>'МРСК 2'!K83</f>
        <v>10.284920464541678</v>
      </c>
      <c r="AA80" s="237"/>
      <c r="AB80" s="81"/>
    </row>
    <row r="81" spans="1:28" ht="21" thickBot="1" thickTop="1">
      <c r="A81" s="14">
        <v>43</v>
      </c>
      <c r="B81" s="210" t="s">
        <v>104</v>
      </c>
      <c r="C81" s="47" t="str">
        <f>'МРСК 2'!C84</f>
        <v>16+16</v>
      </c>
      <c r="D81" s="47">
        <v>8388</v>
      </c>
      <c r="E81" s="47">
        <v>3608</v>
      </c>
      <c r="F81" s="105">
        <f t="shared" si="5"/>
        <v>9.131057331985163</v>
      </c>
      <c r="G81" s="46">
        <v>6.43</v>
      </c>
      <c r="H81" s="16">
        <v>120</v>
      </c>
      <c r="I81" s="46">
        <f t="shared" si="6"/>
        <v>2.7010573319851634</v>
      </c>
      <c r="J81" s="15">
        <v>0</v>
      </c>
      <c r="K81" s="45">
        <v>16.8</v>
      </c>
      <c r="L81" s="105">
        <v>14.098942668014837</v>
      </c>
      <c r="M81" s="46">
        <f>L81</f>
        <v>14.098942668014837</v>
      </c>
      <c r="N81" s="34"/>
      <c r="P81" s="14">
        <v>43</v>
      </c>
      <c r="Q81" s="210" t="s">
        <v>104</v>
      </c>
      <c r="R81" s="47" t="str">
        <f>'МРСК 2'!C84</f>
        <v>16+16</v>
      </c>
      <c r="S81" s="47">
        <f>'МРСК 2'!D84</f>
        <v>0.063</v>
      </c>
      <c r="T81" s="15">
        <f>'МРСК 2'!E84</f>
        <v>9.194057331985164</v>
      </c>
      <c r="U81" s="46">
        <f>'МРСК 2'!F84</f>
        <v>6.43</v>
      </c>
      <c r="V81" s="16">
        <f>'МРСК 2'!G84</f>
        <v>120</v>
      </c>
      <c r="W81" s="46">
        <f>'МРСК 2'!H84</f>
        <v>2.764057331985164</v>
      </c>
      <c r="X81" s="15">
        <f>'МРСК 2'!I84</f>
        <v>0</v>
      </c>
      <c r="Y81" s="48">
        <f>'МРСК 2'!J84</f>
        <v>16.8</v>
      </c>
      <c r="Z81" s="46">
        <f>'МРСК 2'!K84</f>
        <v>14.035942668014837</v>
      </c>
      <c r="AA81" s="46" t="e">
        <f>'МРСК 2'!L84:L86</f>
        <v>#VALUE!</v>
      </c>
      <c r="AB81" s="34"/>
    </row>
    <row r="82" spans="1:28" ht="21" thickBot="1" thickTop="1">
      <c r="A82" s="82">
        <v>44</v>
      </c>
      <c r="B82" s="210" t="s">
        <v>105</v>
      </c>
      <c r="C82" s="84" t="str">
        <f>'МРСК 2'!C85</f>
        <v>16+16</v>
      </c>
      <c r="D82" s="84">
        <f>D83+D84</f>
        <v>13281</v>
      </c>
      <c r="E82" s="84">
        <f>E83+E84</f>
        <v>5063</v>
      </c>
      <c r="F82" s="105">
        <f t="shared" si="5"/>
        <v>14.213336343026572</v>
      </c>
      <c r="G82" s="85">
        <v>13.953</v>
      </c>
      <c r="H82" s="86">
        <v>80</v>
      </c>
      <c r="I82" s="87">
        <f t="shared" si="6"/>
        <v>0.26033634302657305</v>
      </c>
      <c r="J82" s="87">
        <v>0</v>
      </c>
      <c r="K82" s="87">
        <v>16.8</v>
      </c>
      <c r="L82" s="103">
        <v>16.539663656973428</v>
      </c>
      <c r="M82" s="238">
        <f>MIN(L82:L84)</f>
        <v>14.450087408114832</v>
      </c>
      <c r="N82" s="88"/>
      <c r="P82" s="82">
        <v>44</v>
      </c>
      <c r="Q82" s="210" t="s">
        <v>105</v>
      </c>
      <c r="R82" s="84" t="str">
        <f>'МРСК 2'!C85</f>
        <v>16+16</v>
      </c>
      <c r="S82" s="84">
        <f>'МРСК 2'!D85</f>
        <v>0.03</v>
      </c>
      <c r="T82" s="101">
        <f>'МРСК 2'!E85</f>
        <v>14.243336343026572</v>
      </c>
      <c r="U82" s="85">
        <f>'МРСК 2'!F85</f>
        <v>13.953</v>
      </c>
      <c r="V82" s="86">
        <f>'МРСК 2'!G85</f>
        <v>80</v>
      </c>
      <c r="W82" s="87">
        <f>'МРСК 2'!H85</f>
        <v>0.2903363430265724</v>
      </c>
      <c r="X82" s="87">
        <f>'МРСК 2'!I85</f>
        <v>0</v>
      </c>
      <c r="Y82" s="87">
        <f>'МРСК 2'!J85</f>
        <v>16.8</v>
      </c>
      <c r="Z82" s="103">
        <f>'МРСК 2'!K85</f>
        <v>16.50966365697343</v>
      </c>
      <c r="AA82" s="238">
        <f>MIN(Z82:Z84)</f>
        <v>14.420087408114831</v>
      </c>
      <c r="AB82" s="88"/>
    </row>
    <row r="83" spans="1:28" ht="21" thickBot="1" thickTop="1">
      <c r="A83" s="14"/>
      <c r="B83" s="210" t="s">
        <v>59</v>
      </c>
      <c r="C83" s="8" t="str">
        <f>'МРСК 2'!C86</f>
        <v>16+16</v>
      </c>
      <c r="D83" s="8">
        <v>8161</v>
      </c>
      <c r="E83" s="8">
        <v>3347</v>
      </c>
      <c r="F83" s="105">
        <f t="shared" si="5"/>
        <v>8.8206762779279</v>
      </c>
      <c r="G83" s="33">
        <v>10.903</v>
      </c>
      <c r="H83" s="47"/>
      <c r="I83" s="15">
        <f t="shared" si="6"/>
        <v>-2.0823237220721005</v>
      </c>
      <c r="J83" s="15">
        <v>0</v>
      </c>
      <c r="K83" s="31">
        <v>16.8</v>
      </c>
      <c r="L83" s="46">
        <v>18.8823237220721</v>
      </c>
      <c r="M83" s="236"/>
      <c r="N83" s="34"/>
      <c r="P83" s="14"/>
      <c r="Q83" s="210" t="s">
        <v>59</v>
      </c>
      <c r="R83" s="84" t="str">
        <f>'МРСК 2'!C86</f>
        <v>16+16</v>
      </c>
      <c r="S83" s="8">
        <f>'МРСК 2'!D86</f>
        <v>0</v>
      </c>
      <c r="T83" s="99">
        <f>'МРСК 2'!E86</f>
        <v>8.8206762779279</v>
      </c>
      <c r="U83" s="33">
        <f>'МРСК 2'!F86</f>
        <v>10.903</v>
      </c>
      <c r="V83" s="47">
        <f>'МРСК 2'!G86</f>
        <v>0</v>
      </c>
      <c r="W83" s="15">
        <f>'МРСК 2'!H86</f>
        <v>-2.0823237220721005</v>
      </c>
      <c r="X83" s="15">
        <f>'МРСК 2'!I86</f>
        <v>0</v>
      </c>
      <c r="Y83" s="15">
        <f>'МРСК 2'!J86</f>
        <v>16.8</v>
      </c>
      <c r="Z83" s="46">
        <f>'МРСК 2'!K86</f>
        <v>18.8823237220721</v>
      </c>
      <c r="AA83" s="236"/>
      <c r="AB83" s="34"/>
    </row>
    <row r="84" spans="1:28" ht="21" thickBot="1" thickTop="1">
      <c r="A84" s="74"/>
      <c r="B84" s="210" t="s">
        <v>60</v>
      </c>
      <c r="C84" s="75" t="str">
        <f>'МРСК 2'!C87</f>
        <v>16+16</v>
      </c>
      <c r="D84" s="75">
        <v>5120</v>
      </c>
      <c r="E84" s="75">
        <v>1716</v>
      </c>
      <c r="F84" s="105">
        <f t="shared" si="5"/>
        <v>5.399912591885169</v>
      </c>
      <c r="G84" s="77">
        <v>3.05</v>
      </c>
      <c r="H84" s="78"/>
      <c r="I84" s="79">
        <f t="shared" si="6"/>
        <v>2.349912591885169</v>
      </c>
      <c r="J84" s="79">
        <v>0</v>
      </c>
      <c r="K84" s="80">
        <v>16.8</v>
      </c>
      <c r="L84" s="76">
        <v>14.450087408114832</v>
      </c>
      <c r="M84" s="237"/>
      <c r="N84" s="81"/>
      <c r="P84" s="74"/>
      <c r="Q84" s="210" t="s">
        <v>60</v>
      </c>
      <c r="R84" s="84" t="str">
        <f>'МРСК 2'!C87</f>
        <v>16+16</v>
      </c>
      <c r="S84" s="75">
        <f>'МРСК 2'!D87</f>
        <v>0.03</v>
      </c>
      <c r="T84" s="100">
        <f>'МРСК 2'!E87</f>
        <v>5.429912591885169</v>
      </c>
      <c r="U84" s="77">
        <f>'МРСК 2'!F87</f>
        <v>3.05</v>
      </c>
      <c r="V84" s="78">
        <f>'МРСК 2'!G87</f>
        <v>0</v>
      </c>
      <c r="W84" s="79">
        <f>'МРСК 2'!H87</f>
        <v>2.3799125918851693</v>
      </c>
      <c r="X84" s="79">
        <f>'МРСК 2'!I87</f>
        <v>0</v>
      </c>
      <c r="Y84" s="79">
        <f>'МРСК 2'!J87</f>
        <v>16.8</v>
      </c>
      <c r="Z84" s="76">
        <f>'МРСК 2'!K87</f>
        <v>14.420087408114831</v>
      </c>
      <c r="AA84" s="237"/>
      <c r="AB84" s="81"/>
    </row>
    <row r="85" spans="1:28" ht="20.25" thickTop="1">
      <c r="A85" s="14">
        <v>45</v>
      </c>
      <c r="B85" s="210" t="s">
        <v>106</v>
      </c>
      <c r="C85" s="47" t="str">
        <f>'МРСК 2'!C88</f>
        <v>40+40</v>
      </c>
      <c r="D85" s="47">
        <v>26016</v>
      </c>
      <c r="E85" s="47">
        <v>7584</v>
      </c>
      <c r="F85" s="105">
        <f t="shared" si="5"/>
        <v>27.098880272070286</v>
      </c>
      <c r="G85" s="46">
        <v>6.73</v>
      </c>
      <c r="H85" s="16">
        <v>120</v>
      </c>
      <c r="I85" s="46">
        <f t="shared" si="6"/>
        <v>20.368880272070285</v>
      </c>
      <c r="J85" s="15">
        <v>0</v>
      </c>
      <c r="K85" s="45">
        <v>42</v>
      </c>
      <c r="L85" s="105">
        <v>21.631119727929715</v>
      </c>
      <c r="M85" s="46">
        <f>MIN(L85:L85)</f>
        <v>21.631119727929715</v>
      </c>
      <c r="N85" s="34"/>
      <c r="P85" s="14">
        <v>45</v>
      </c>
      <c r="Q85" s="210" t="s">
        <v>106</v>
      </c>
      <c r="R85" s="47" t="str">
        <f>'МРСК 2'!C88</f>
        <v>40+40</v>
      </c>
      <c r="S85" s="47">
        <f>'МРСК 2'!D88</f>
        <v>2.605</v>
      </c>
      <c r="T85" s="15">
        <f>'МРСК 2'!E88</f>
        <v>29.703880272070286</v>
      </c>
      <c r="U85" s="46">
        <f>'МРСК 2'!F88</f>
        <v>6.73</v>
      </c>
      <c r="V85" s="16">
        <f>'МРСК 2'!G88</f>
        <v>120</v>
      </c>
      <c r="W85" s="46">
        <f>'МРСК 2'!H88</f>
        <v>22.973880272070286</v>
      </c>
      <c r="X85" s="15">
        <f>'МРСК 2'!I88</f>
        <v>0</v>
      </c>
      <c r="Y85" s="48">
        <f>'МРСК 2'!J88</f>
        <v>42</v>
      </c>
      <c r="Z85" s="46">
        <f>'МРСК 2'!K88</f>
        <v>19.026119727929714</v>
      </c>
      <c r="AA85" s="46" t="e">
        <f>'МРСК 2'!L88:L90</f>
        <v>#VALUE!</v>
      </c>
      <c r="AB85" s="34"/>
    </row>
    <row r="86" spans="1:28" ht="20.25" thickBot="1">
      <c r="A86" s="14">
        <v>46</v>
      </c>
      <c r="B86" s="210" t="s">
        <v>107</v>
      </c>
      <c r="C86" s="47" t="str">
        <f>'МРСК 2'!C89</f>
        <v>40+40</v>
      </c>
      <c r="D86" s="47">
        <v>23785</v>
      </c>
      <c r="E86" s="47">
        <v>4642</v>
      </c>
      <c r="F86" s="105">
        <f t="shared" si="5"/>
        <v>24.233744840614296</v>
      </c>
      <c r="G86" s="46">
        <v>11.23</v>
      </c>
      <c r="H86" s="16">
        <v>120</v>
      </c>
      <c r="I86" s="46">
        <f t="shared" si="6"/>
        <v>13.003744840614296</v>
      </c>
      <c r="J86" s="15">
        <v>0</v>
      </c>
      <c r="K86" s="45">
        <v>42</v>
      </c>
      <c r="L86" s="105">
        <v>28.996255159385704</v>
      </c>
      <c r="M86" s="46">
        <f>MIN(L86:L86)</f>
        <v>28.996255159385704</v>
      </c>
      <c r="N86" s="34"/>
      <c r="P86" s="14">
        <v>46</v>
      </c>
      <c r="Q86" s="210" t="s">
        <v>107</v>
      </c>
      <c r="R86" s="47" t="str">
        <f>'МРСК 2'!C89</f>
        <v>40+40</v>
      </c>
      <c r="S86" s="47">
        <f>'МРСК 2'!D89</f>
        <v>2.0873000000000004</v>
      </c>
      <c r="T86" s="15">
        <f>'МРСК 2'!E89</f>
        <v>26.321044840614295</v>
      </c>
      <c r="U86" s="46">
        <f>'МРСК 2'!F89</f>
        <v>11.23</v>
      </c>
      <c r="V86" s="16">
        <f>'МРСК 2'!G89</f>
        <v>120</v>
      </c>
      <c r="W86" s="46">
        <f>'МРСК 2'!H89</f>
        <v>15.091044840614295</v>
      </c>
      <c r="X86" s="15">
        <f>'МРСК 2'!I89</f>
        <v>0</v>
      </c>
      <c r="Y86" s="48">
        <f>'МРСК 2'!J89</f>
        <v>42</v>
      </c>
      <c r="Z86" s="46">
        <f>'МРСК 2'!K89</f>
        <v>26.908955159385705</v>
      </c>
      <c r="AA86" s="46" t="e">
        <f>'МРСК 2'!L89:L91</f>
        <v>#VALUE!</v>
      </c>
      <c r="AB86" s="34"/>
    </row>
    <row r="87" spans="1:28" ht="20.25" thickTop="1">
      <c r="A87" s="82">
        <v>47</v>
      </c>
      <c r="B87" s="210" t="s">
        <v>108</v>
      </c>
      <c r="C87" s="84" t="str">
        <f>'МРСК 2'!C90</f>
        <v>40+25</v>
      </c>
      <c r="D87" s="84">
        <f>D88+D89</f>
        <v>23335</v>
      </c>
      <c r="E87" s="84">
        <f>E88+E89</f>
        <v>7691</v>
      </c>
      <c r="F87" s="105">
        <f t="shared" si="5"/>
        <v>24.569772200816193</v>
      </c>
      <c r="G87" s="85">
        <v>12.4</v>
      </c>
      <c r="H87" s="86">
        <v>120</v>
      </c>
      <c r="I87" s="87">
        <f t="shared" si="6"/>
        <v>12.169772200816192</v>
      </c>
      <c r="J87" s="87">
        <v>0</v>
      </c>
      <c r="K87" s="87">
        <v>42</v>
      </c>
      <c r="L87" s="103">
        <v>29.83022779918381</v>
      </c>
      <c r="M87" s="238">
        <f>MIN(L87:L89)</f>
        <v>29.83022779918381</v>
      </c>
      <c r="N87" s="88"/>
      <c r="P87" s="82">
        <v>47</v>
      </c>
      <c r="Q87" s="210" t="s">
        <v>108</v>
      </c>
      <c r="R87" s="84" t="str">
        <f>'МРСК 2'!C90</f>
        <v>40+25</v>
      </c>
      <c r="S87" s="84">
        <f>'МРСК 2'!D90</f>
        <v>0.415</v>
      </c>
      <c r="T87" s="101">
        <f>'МРСК 2'!E90</f>
        <v>24.98477220081619</v>
      </c>
      <c r="U87" s="85">
        <f>'МРСК 2'!F90</f>
        <v>12.4</v>
      </c>
      <c r="V87" s="86">
        <f>'МРСК 2'!G90</f>
        <v>120</v>
      </c>
      <c r="W87" s="87">
        <f>'МРСК 2'!H90</f>
        <v>12.584772200816191</v>
      </c>
      <c r="X87" s="87">
        <f>'МРСК 2'!I90</f>
        <v>0</v>
      </c>
      <c r="Y87" s="87">
        <f>'МРСК 2'!J90</f>
        <v>42</v>
      </c>
      <c r="Z87" s="103">
        <f>'МРСК 2'!K90</f>
        <v>29.41522779918381</v>
      </c>
      <c r="AA87" s="238" t="e">
        <f>'МРСК 2'!L90:L92</f>
        <v>#VALUE!</v>
      </c>
      <c r="AB87" s="88"/>
    </row>
    <row r="88" spans="1:28" ht="19.5">
      <c r="A88" s="14"/>
      <c r="B88" s="210" t="s">
        <v>59</v>
      </c>
      <c r="C88" s="8" t="str">
        <f>'МРСК 2'!C91</f>
        <v>40+25</v>
      </c>
      <c r="D88" s="8">
        <v>16567</v>
      </c>
      <c r="E88" s="8">
        <v>6202</v>
      </c>
      <c r="F88" s="105">
        <f t="shared" si="5"/>
        <v>17.68983586696044</v>
      </c>
      <c r="G88" s="33">
        <v>6.227</v>
      </c>
      <c r="H88" s="47"/>
      <c r="I88" s="15">
        <f t="shared" si="6"/>
        <v>11.46283586696044</v>
      </c>
      <c r="J88" s="15">
        <v>0</v>
      </c>
      <c r="K88" s="31">
        <v>42</v>
      </c>
      <c r="L88" s="46">
        <v>30.53716413303956</v>
      </c>
      <c r="M88" s="236"/>
      <c r="N88" s="34"/>
      <c r="P88" s="14"/>
      <c r="Q88" s="210" t="s">
        <v>59</v>
      </c>
      <c r="R88" s="8" t="str">
        <f>'МРСК 2'!C91</f>
        <v>40+25</v>
      </c>
      <c r="S88" s="8">
        <f>'МРСК 2'!D91</f>
        <v>0</v>
      </c>
      <c r="T88" s="99">
        <f>'МРСК 2'!E91</f>
        <v>17.68983586696044</v>
      </c>
      <c r="U88" s="33">
        <f>'МРСК 2'!F91</f>
        <v>6.227</v>
      </c>
      <c r="V88" s="47">
        <f>'МРСК 2'!G91</f>
        <v>0</v>
      </c>
      <c r="W88" s="15">
        <f>'МРСК 2'!H91</f>
        <v>11.46283586696044</v>
      </c>
      <c r="X88" s="15">
        <f>'МРСК 2'!I91</f>
        <v>0</v>
      </c>
      <c r="Y88" s="15">
        <f>'МРСК 2'!J91</f>
        <v>42</v>
      </c>
      <c r="Z88" s="46">
        <f>'МРСК 2'!K91</f>
        <v>30.53716413303956</v>
      </c>
      <c r="AA88" s="236"/>
      <c r="AB88" s="34"/>
    </row>
    <row r="89" spans="1:28" ht="20.25" thickBot="1">
      <c r="A89" s="74"/>
      <c r="B89" s="210" t="s">
        <v>60</v>
      </c>
      <c r="C89" s="75" t="str">
        <f>'МРСК 2'!C92</f>
        <v>40+25</v>
      </c>
      <c r="D89" s="75">
        <v>6768</v>
      </c>
      <c r="E89" s="75">
        <v>1489</v>
      </c>
      <c r="F89" s="105">
        <f t="shared" si="5"/>
        <v>6.929858945173415</v>
      </c>
      <c r="G89" s="77">
        <v>6.173</v>
      </c>
      <c r="H89" s="78"/>
      <c r="I89" s="79">
        <f t="shared" si="6"/>
        <v>0.7568589451734153</v>
      </c>
      <c r="J89" s="79">
        <v>0</v>
      </c>
      <c r="K89" s="80">
        <v>42</v>
      </c>
      <c r="L89" s="76">
        <v>41.24314105482659</v>
      </c>
      <c r="M89" s="237"/>
      <c r="N89" s="81"/>
      <c r="P89" s="74"/>
      <c r="Q89" s="210" t="s">
        <v>60</v>
      </c>
      <c r="R89" s="75" t="str">
        <f>'МРСК 2'!C92</f>
        <v>40+25</v>
      </c>
      <c r="S89" s="75">
        <f>'МРСК 2'!D92</f>
        <v>0.415</v>
      </c>
      <c r="T89" s="100">
        <f>'МРСК 2'!E92</f>
        <v>7.344858945173415</v>
      </c>
      <c r="U89" s="77">
        <f>'МРСК 2'!F92</f>
        <v>6.173</v>
      </c>
      <c r="V89" s="78">
        <f>'МРСК 2'!G92</f>
        <v>0</v>
      </c>
      <c r="W89" s="79">
        <f>'МРСК 2'!H92</f>
        <v>1.1718589451734154</v>
      </c>
      <c r="X89" s="79">
        <f>'МРСК 2'!I92</f>
        <v>0</v>
      </c>
      <c r="Y89" s="79">
        <f>'МРСК 2'!J92</f>
        <v>42</v>
      </c>
      <c r="Z89" s="76">
        <f>'МРСК 2'!K92</f>
        <v>40.82814105482659</v>
      </c>
      <c r="AA89" s="237"/>
      <c r="AB89" s="81"/>
    </row>
    <row r="90" spans="1:28" ht="21" thickBot="1" thickTop="1">
      <c r="A90" s="14">
        <v>48</v>
      </c>
      <c r="B90" s="210" t="s">
        <v>109</v>
      </c>
      <c r="C90" s="47" t="str">
        <f>'МРСК 2'!C93</f>
        <v>16+16</v>
      </c>
      <c r="D90" s="47">
        <v>15459</v>
      </c>
      <c r="E90" s="47">
        <v>3295</v>
      </c>
      <c r="F90" s="105">
        <f t="shared" si="5"/>
        <v>15.806255280742494</v>
      </c>
      <c r="G90" s="46">
        <v>1.249</v>
      </c>
      <c r="H90" s="16">
        <v>80</v>
      </c>
      <c r="I90" s="46">
        <f t="shared" si="6"/>
        <v>14.557255280742494</v>
      </c>
      <c r="J90" s="15">
        <v>0</v>
      </c>
      <c r="K90" s="45">
        <v>16.8</v>
      </c>
      <c r="L90" s="105">
        <v>2.242744719257507</v>
      </c>
      <c r="M90" s="46">
        <f>L90</f>
        <v>2.242744719257507</v>
      </c>
      <c r="N90" s="34"/>
      <c r="P90" s="14">
        <v>48</v>
      </c>
      <c r="Q90" s="210" t="s">
        <v>109</v>
      </c>
      <c r="R90" s="47" t="str">
        <f>'МРСК 2'!C93</f>
        <v>16+16</v>
      </c>
      <c r="S90" s="47">
        <f>'МРСК 2'!D93</f>
        <v>1.82</v>
      </c>
      <c r="T90" s="15">
        <f>'МРСК 2'!E93</f>
        <v>17.626255280742495</v>
      </c>
      <c r="U90" s="46">
        <f>'МРСК 2'!F93</f>
        <v>1.249</v>
      </c>
      <c r="V90" s="16">
        <f>'МРСК 2'!G93</f>
        <v>80</v>
      </c>
      <c r="W90" s="46">
        <f>'МРСК 2'!H93</f>
        <v>16.377255280742496</v>
      </c>
      <c r="X90" s="15">
        <f>'МРСК 2'!I93</f>
        <v>0</v>
      </c>
      <c r="Y90" s="48">
        <f>'МРСК 2'!J93</f>
        <v>16.8</v>
      </c>
      <c r="Z90" s="46">
        <f>'МРСК 2'!K93</f>
        <v>0.4227447192575049</v>
      </c>
      <c r="AA90" s="46" t="e">
        <f>'МРСК 2'!L93:L95</f>
        <v>#VALUE!</v>
      </c>
      <c r="AB90" s="34"/>
    </row>
    <row r="91" spans="1:28" ht="21" thickBot="1" thickTop="1">
      <c r="A91" s="82">
        <v>49</v>
      </c>
      <c r="B91" s="210" t="s">
        <v>110</v>
      </c>
      <c r="C91" s="84" t="str">
        <f>'МРСК 2'!C94</f>
        <v>10+10</v>
      </c>
      <c r="D91" s="84">
        <f>D92+D93</f>
        <v>5960</v>
      </c>
      <c r="E91" s="84">
        <f>E92+E93</f>
        <v>2270</v>
      </c>
      <c r="F91" s="105">
        <f t="shared" si="5"/>
        <v>6.377656309334958</v>
      </c>
      <c r="G91" s="85">
        <v>6.16</v>
      </c>
      <c r="H91" s="86">
        <v>80</v>
      </c>
      <c r="I91" s="87">
        <f t="shared" si="6"/>
        <v>0.2176563093349575</v>
      </c>
      <c r="J91" s="87">
        <v>0</v>
      </c>
      <c r="K91" s="87">
        <v>10.5</v>
      </c>
      <c r="L91" s="103">
        <v>10.282343690665043</v>
      </c>
      <c r="M91" s="238">
        <f>MIN(L91:L93)</f>
        <v>10.282343690665043</v>
      </c>
      <c r="N91" s="88"/>
      <c r="P91" s="82">
        <v>49</v>
      </c>
      <c r="Q91" s="210" t="s">
        <v>110</v>
      </c>
      <c r="R91" s="84" t="str">
        <f>'МРСК 2'!C94</f>
        <v>10+10</v>
      </c>
      <c r="S91" s="84">
        <f>'МРСК 2'!D94</f>
        <v>0.085</v>
      </c>
      <c r="T91" s="101">
        <f>'МРСК 2'!E94</f>
        <v>6.462656309334958</v>
      </c>
      <c r="U91" s="85">
        <f>'МРСК 2'!F94</f>
        <v>6.16</v>
      </c>
      <c r="V91" s="86">
        <f>'МРСК 2'!G94</f>
        <v>80</v>
      </c>
      <c r="W91" s="87">
        <f>'МРСК 2'!H94</f>
        <v>0.30265630933495746</v>
      </c>
      <c r="X91" s="87">
        <f>'МРСК 2'!I94</f>
        <v>0</v>
      </c>
      <c r="Y91" s="87">
        <f>'МРСК 2'!J94</f>
        <v>10.5</v>
      </c>
      <c r="Z91" s="103">
        <f>'МРСК 2'!K94</f>
        <v>10.197343690665043</v>
      </c>
      <c r="AA91" s="238">
        <f>MIN(Z91:Z93)</f>
        <v>10.197343690665043</v>
      </c>
      <c r="AB91" s="88"/>
    </row>
    <row r="92" spans="1:28" ht="21" thickBot="1" thickTop="1">
      <c r="A92" s="14"/>
      <c r="B92" s="210" t="s">
        <v>59</v>
      </c>
      <c r="C92" s="8" t="str">
        <f>'МРСК 2'!C95</f>
        <v>10+10</v>
      </c>
      <c r="D92" s="8">
        <v>2266</v>
      </c>
      <c r="E92" s="8">
        <v>1008</v>
      </c>
      <c r="F92" s="105">
        <f t="shared" si="5"/>
        <v>2.480084675973786</v>
      </c>
      <c r="G92" s="33">
        <v>2.375</v>
      </c>
      <c r="H92" s="47"/>
      <c r="I92" s="15">
        <f t="shared" si="6"/>
        <v>0.10508467597378601</v>
      </c>
      <c r="J92" s="15">
        <v>0</v>
      </c>
      <c r="K92" s="31">
        <v>10.5</v>
      </c>
      <c r="L92" s="46">
        <v>10.394915324026215</v>
      </c>
      <c r="M92" s="236"/>
      <c r="N92" s="34"/>
      <c r="P92" s="14"/>
      <c r="Q92" s="210" t="s">
        <v>59</v>
      </c>
      <c r="R92" s="84" t="str">
        <f>'МРСК 2'!C95</f>
        <v>10+10</v>
      </c>
      <c r="S92" s="8">
        <f>'МРСК 2'!D95</f>
        <v>0</v>
      </c>
      <c r="T92" s="99">
        <f>'МРСК 2'!E95</f>
        <v>2.480084675973786</v>
      </c>
      <c r="U92" s="33">
        <f>'МРСК 2'!F95</f>
        <v>2.375</v>
      </c>
      <c r="V92" s="47">
        <f>'МРСК 2'!G95</f>
        <v>0</v>
      </c>
      <c r="W92" s="15">
        <f>'МРСК 2'!H95</f>
        <v>0.10508467597378601</v>
      </c>
      <c r="X92" s="15">
        <f>'МРСК 2'!I95</f>
        <v>0</v>
      </c>
      <c r="Y92" s="15">
        <f>'МРСК 2'!J95</f>
        <v>10.5</v>
      </c>
      <c r="Z92" s="46">
        <f>'МРСК 2'!K95</f>
        <v>10.394915324026215</v>
      </c>
      <c r="AA92" s="236"/>
      <c r="AB92" s="34"/>
    </row>
    <row r="93" spans="1:28" ht="21" thickBot="1" thickTop="1">
      <c r="A93" s="74"/>
      <c r="B93" s="210" t="s">
        <v>60</v>
      </c>
      <c r="C93" s="75" t="str">
        <f>'МРСК 2'!C96</f>
        <v>10+10</v>
      </c>
      <c r="D93" s="75">
        <v>3694</v>
      </c>
      <c r="E93" s="75">
        <v>1262</v>
      </c>
      <c r="F93" s="105">
        <f t="shared" si="5"/>
        <v>3.903623957299166</v>
      </c>
      <c r="G93" s="77">
        <v>3.785</v>
      </c>
      <c r="H93" s="78"/>
      <c r="I93" s="79">
        <f t="shared" si="6"/>
        <v>0.11862395729916564</v>
      </c>
      <c r="J93" s="79">
        <v>0</v>
      </c>
      <c r="K93" s="80">
        <v>10.5</v>
      </c>
      <c r="L93" s="76">
        <v>10.381376042700834</v>
      </c>
      <c r="M93" s="237"/>
      <c r="N93" s="81"/>
      <c r="P93" s="74"/>
      <c r="Q93" s="210" t="s">
        <v>60</v>
      </c>
      <c r="R93" s="84" t="str">
        <f>'МРСК 2'!C96</f>
        <v>10+10</v>
      </c>
      <c r="S93" s="75">
        <f>'МРСК 2'!D96</f>
        <v>0.085</v>
      </c>
      <c r="T93" s="100">
        <f>'МРСК 2'!E96</f>
        <v>3.9886239572991657</v>
      </c>
      <c r="U93" s="77">
        <f>'МРСК 2'!F96</f>
        <v>3.785</v>
      </c>
      <c r="V93" s="78">
        <f>'МРСК 2'!G96</f>
        <v>0</v>
      </c>
      <c r="W93" s="79">
        <f>'МРСК 2'!H96</f>
        <v>0.2036239572991656</v>
      </c>
      <c r="X93" s="79">
        <f>'МРСК 2'!I96</f>
        <v>0</v>
      </c>
      <c r="Y93" s="79">
        <f>'МРСК 2'!J96</f>
        <v>10.5</v>
      </c>
      <c r="Z93" s="76">
        <f>'МРСК 2'!K96</f>
        <v>10.296376042700835</v>
      </c>
      <c r="AA93" s="237"/>
      <c r="AB93" s="81"/>
    </row>
    <row r="94" spans="1:28" ht="20.25" thickTop="1">
      <c r="A94" s="82">
        <v>50</v>
      </c>
      <c r="B94" s="210" t="s">
        <v>111</v>
      </c>
      <c r="C94" s="84" t="str">
        <f>'МРСК 2'!C97</f>
        <v>16+16</v>
      </c>
      <c r="D94" s="84">
        <f>D95+D96</f>
        <v>16357</v>
      </c>
      <c r="E94" s="84">
        <f>E95+E96</f>
        <v>6666</v>
      </c>
      <c r="F94" s="105">
        <f t="shared" si="5"/>
        <v>17.663153880323865</v>
      </c>
      <c r="G94" s="85">
        <v>7.7116</v>
      </c>
      <c r="H94" s="86">
        <v>120</v>
      </c>
      <c r="I94" s="87">
        <f t="shared" si="6"/>
        <v>9.951553880323864</v>
      </c>
      <c r="J94" s="87">
        <v>0</v>
      </c>
      <c r="K94" s="87">
        <v>16.8</v>
      </c>
      <c r="L94" s="103">
        <v>6.848446119676137</v>
      </c>
      <c r="M94" s="238">
        <f>MIN(L94:L96)</f>
        <v>6.848446119676137</v>
      </c>
      <c r="N94" s="88"/>
      <c r="P94" s="82">
        <v>50</v>
      </c>
      <c r="Q94" s="210" t="s">
        <v>111</v>
      </c>
      <c r="R94" s="84" t="str">
        <f>'МРСК 2'!C97</f>
        <v>16+16</v>
      </c>
      <c r="S94" s="84">
        <f>'МРСК 2'!D97</f>
        <v>0.3655</v>
      </c>
      <c r="T94" s="101">
        <f>'МРСК 2'!E97</f>
        <v>18.028653880323866</v>
      </c>
      <c r="U94" s="85">
        <f>'МРСК 2'!F97</f>
        <v>7.7116</v>
      </c>
      <c r="V94" s="86">
        <f>'МРСК 2'!G97</f>
        <v>120</v>
      </c>
      <c r="W94" s="87">
        <f>'МРСК 2'!H97</f>
        <v>10.317053880323865</v>
      </c>
      <c r="X94" s="87">
        <f>'МРСК 2'!I97</f>
        <v>0</v>
      </c>
      <c r="Y94" s="87">
        <f>'МРСК 2'!J97</f>
        <v>16.8</v>
      </c>
      <c r="Z94" s="103">
        <f>'МРСК 2'!K97</f>
        <v>6.482946119676136</v>
      </c>
      <c r="AA94" s="238">
        <f>MIN(Z94:Z96)</f>
        <v>6.482946119676136</v>
      </c>
      <c r="AB94" s="88"/>
    </row>
    <row r="95" spans="1:28" ht="19.5">
      <c r="A95" s="14"/>
      <c r="B95" s="210" t="s">
        <v>59</v>
      </c>
      <c r="C95" s="8" t="str">
        <f>'МРСК 2'!C98</f>
        <v>16+16</v>
      </c>
      <c r="D95" s="8">
        <v>8971</v>
      </c>
      <c r="E95" s="8">
        <v>4110</v>
      </c>
      <c r="F95" s="105">
        <f t="shared" si="5"/>
        <v>9.867671508517093</v>
      </c>
      <c r="G95" s="33">
        <v>4.854</v>
      </c>
      <c r="H95" s="47"/>
      <c r="I95" s="15">
        <f t="shared" si="6"/>
        <v>5.013671508517093</v>
      </c>
      <c r="J95" s="15">
        <v>0</v>
      </c>
      <c r="K95" s="31">
        <v>16.8</v>
      </c>
      <c r="L95" s="46">
        <v>11.786328491482909</v>
      </c>
      <c r="M95" s="236"/>
      <c r="N95" s="34"/>
      <c r="P95" s="14"/>
      <c r="Q95" s="210" t="s">
        <v>59</v>
      </c>
      <c r="R95" s="8" t="str">
        <f>'МРСК 2'!C98</f>
        <v>16+16</v>
      </c>
      <c r="S95" s="8">
        <f>'МРСК 2'!D98</f>
        <v>0</v>
      </c>
      <c r="T95" s="99">
        <f>'МРСК 2'!E98</f>
        <v>9.867671508517093</v>
      </c>
      <c r="U95" s="33">
        <f>'МРСК 2'!F98</f>
        <v>4.854</v>
      </c>
      <c r="V95" s="47">
        <f>'МРСК 2'!G98</f>
        <v>0</v>
      </c>
      <c r="W95" s="15">
        <f>'МРСК 2'!H98</f>
        <v>5.013671508517093</v>
      </c>
      <c r="X95" s="15">
        <f>'МРСК 2'!I98</f>
        <v>0</v>
      </c>
      <c r="Y95" s="15">
        <f>'МРСК 2'!J98</f>
        <v>16.8</v>
      </c>
      <c r="Z95" s="46">
        <f>'МРСК 2'!K98</f>
        <v>11.786328491482909</v>
      </c>
      <c r="AA95" s="236"/>
      <c r="AB95" s="34"/>
    </row>
    <row r="96" spans="1:28" ht="20.25" thickBot="1">
      <c r="A96" s="74"/>
      <c r="B96" s="210" t="s">
        <v>60</v>
      </c>
      <c r="C96" s="75" t="str">
        <f>'МРСК 2'!C99</f>
        <v>16+16</v>
      </c>
      <c r="D96" s="75">
        <v>7386</v>
      </c>
      <c r="E96" s="75">
        <v>2556</v>
      </c>
      <c r="F96" s="105">
        <f t="shared" si="5"/>
        <v>7.815761767096026</v>
      </c>
      <c r="G96" s="77">
        <v>2.8575999999999997</v>
      </c>
      <c r="H96" s="78"/>
      <c r="I96" s="79">
        <f t="shared" si="6"/>
        <v>4.958161767096026</v>
      </c>
      <c r="J96" s="79">
        <v>0</v>
      </c>
      <c r="K96" s="80">
        <v>16.8</v>
      </c>
      <c r="L96" s="76">
        <v>11.841838232903974</v>
      </c>
      <c r="M96" s="237"/>
      <c r="N96" s="81"/>
      <c r="P96" s="74"/>
      <c r="Q96" s="210" t="s">
        <v>60</v>
      </c>
      <c r="R96" s="75" t="str">
        <f>'МРСК 2'!C99</f>
        <v>16+16</v>
      </c>
      <c r="S96" s="75">
        <f>'МРСК 2'!D99</f>
        <v>0.3655</v>
      </c>
      <c r="T96" s="100">
        <f>'МРСК 2'!E99</f>
        <v>8.181261767096027</v>
      </c>
      <c r="U96" s="77">
        <f>'МРСК 2'!F99</f>
        <v>2.8575999999999997</v>
      </c>
      <c r="V96" s="78">
        <f>'МРСК 2'!G99</f>
        <v>0</v>
      </c>
      <c r="W96" s="79">
        <f>'МРСК 2'!H99</f>
        <v>5.323661767096027</v>
      </c>
      <c r="X96" s="79">
        <f>'МРСК 2'!I99</f>
        <v>0</v>
      </c>
      <c r="Y96" s="79">
        <f>'МРСК 2'!J99</f>
        <v>16.8</v>
      </c>
      <c r="Z96" s="76">
        <f>'МРСК 2'!K99</f>
        <v>11.476338232903974</v>
      </c>
      <c r="AA96" s="237"/>
      <c r="AB96" s="81"/>
    </row>
    <row r="97" spans="1:28" ht="20.25" thickTop="1">
      <c r="A97" s="82">
        <v>51</v>
      </c>
      <c r="B97" s="210" t="s">
        <v>112</v>
      </c>
      <c r="C97" s="84" t="str">
        <f>'МРСК 2'!C100</f>
        <v>25+25</v>
      </c>
      <c r="D97" s="84">
        <f>D98+D99</f>
        <v>12571</v>
      </c>
      <c r="E97" s="84">
        <f>E98+E99</f>
        <v>3927</v>
      </c>
      <c r="F97" s="105">
        <f t="shared" si="5"/>
        <v>13.170093773394326</v>
      </c>
      <c r="G97" s="85">
        <v>9.65</v>
      </c>
      <c r="H97" s="86">
        <v>80</v>
      </c>
      <c r="I97" s="87">
        <f t="shared" si="6"/>
        <v>3.5200937733943256</v>
      </c>
      <c r="J97" s="87">
        <v>0</v>
      </c>
      <c r="K97" s="87">
        <v>26.25</v>
      </c>
      <c r="L97" s="103">
        <v>22.729906226605674</v>
      </c>
      <c r="M97" s="238">
        <f>MIN(L97:L99)</f>
        <v>18.84141858073494</v>
      </c>
      <c r="N97" s="88"/>
      <c r="P97" s="82">
        <v>51</v>
      </c>
      <c r="Q97" s="210" t="s">
        <v>112</v>
      </c>
      <c r="R97" s="84" t="str">
        <f>'МРСК 2'!C100</f>
        <v>25+25</v>
      </c>
      <c r="S97" s="84">
        <f>'МРСК 2'!D100</f>
        <v>0.015</v>
      </c>
      <c r="T97" s="101">
        <f>'МРСК 2'!E100</f>
        <v>13.185093773394327</v>
      </c>
      <c r="U97" s="85">
        <f>'МРСК 2'!F100</f>
        <v>9.65</v>
      </c>
      <c r="V97" s="86">
        <f>'МРСК 2'!G100</f>
        <v>80</v>
      </c>
      <c r="W97" s="87">
        <f>'МРСК 2'!H100</f>
        <v>3.535093773394326</v>
      </c>
      <c r="X97" s="87">
        <f>'МРСК 2'!I100</f>
        <v>0</v>
      </c>
      <c r="Y97" s="87">
        <f>'МРСК 2'!J100</f>
        <v>26.25</v>
      </c>
      <c r="Z97" s="103">
        <f>'МРСК 2'!K100</f>
        <v>22.714906226605674</v>
      </c>
      <c r="AA97" s="238">
        <f>MIN(Z97:Z99)</f>
        <v>18.826418580734938</v>
      </c>
      <c r="AB97" s="88"/>
    </row>
    <row r="98" spans="1:28" ht="19.5">
      <c r="A98" s="14"/>
      <c r="B98" s="210" t="s">
        <v>59</v>
      </c>
      <c r="C98" s="8" t="str">
        <f>'МРСК 2'!C101</f>
        <v>25+25</v>
      </c>
      <c r="D98" s="8">
        <v>1720</v>
      </c>
      <c r="E98" s="8">
        <v>404</v>
      </c>
      <c r="F98" s="105">
        <f t="shared" si="5"/>
        <v>1.7668095539700932</v>
      </c>
      <c r="G98" s="33">
        <v>1.384</v>
      </c>
      <c r="H98" s="47"/>
      <c r="I98" s="15">
        <f t="shared" si="6"/>
        <v>0.3828095539700933</v>
      </c>
      <c r="J98" s="15">
        <v>0</v>
      </c>
      <c r="K98" s="31">
        <v>26.25</v>
      </c>
      <c r="L98" s="46">
        <v>25.867190446029905</v>
      </c>
      <c r="M98" s="236"/>
      <c r="N98" s="34"/>
      <c r="P98" s="14"/>
      <c r="Q98" s="210" t="s">
        <v>59</v>
      </c>
      <c r="R98" s="8" t="str">
        <f>'МРСК 2'!C101</f>
        <v>25+25</v>
      </c>
      <c r="S98" s="8">
        <f>'МРСК 2'!D101</f>
        <v>0</v>
      </c>
      <c r="T98" s="99">
        <f>'МРСК 2'!E101</f>
        <v>1.7668095539700932</v>
      </c>
      <c r="U98" s="33">
        <f>'МРСК 2'!F101</f>
        <v>1.384</v>
      </c>
      <c r="V98" s="47">
        <f>'МРСК 2'!G101</f>
        <v>0</v>
      </c>
      <c r="W98" s="15">
        <f>'МРСК 2'!H101</f>
        <v>0.3828095539700933</v>
      </c>
      <c r="X98" s="15">
        <f>'МРСК 2'!I101</f>
        <v>0</v>
      </c>
      <c r="Y98" s="15">
        <f>'МРСК 2'!J101</f>
        <v>26.25</v>
      </c>
      <c r="Z98" s="46">
        <f>'МРСК 2'!K101</f>
        <v>25.867190446029905</v>
      </c>
      <c r="AA98" s="236"/>
      <c r="AB98" s="34"/>
    </row>
    <row r="99" spans="1:28" ht="20.25" thickBot="1">
      <c r="A99" s="74"/>
      <c r="B99" s="210" t="s">
        <v>60</v>
      </c>
      <c r="C99" s="75" t="str">
        <f>'МРСК 2'!C102</f>
        <v>25+25</v>
      </c>
      <c r="D99" s="75">
        <v>10851</v>
      </c>
      <c r="E99" s="75">
        <v>3523</v>
      </c>
      <c r="F99" s="105">
        <f t="shared" si="5"/>
        <v>11.408581419265062</v>
      </c>
      <c r="G99" s="77">
        <v>4</v>
      </c>
      <c r="H99" s="78"/>
      <c r="I99" s="79">
        <f t="shared" si="6"/>
        <v>7.408581419265062</v>
      </c>
      <c r="J99" s="79">
        <v>0</v>
      </c>
      <c r="K99" s="80">
        <v>26.25</v>
      </c>
      <c r="L99" s="76">
        <v>18.84141858073494</v>
      </c>
      <c r="M99" s="237"/>
      <c r="N99" s="81"/>
      <c r="P99" s="74"/>
      <c r="Q99" s="210" t="s">
        <v>60</v>
      </c>
      <c r="R99" s="75" t="str">
        <f>'МРСК 2'!C102</f>
        <v>25+25</v>
      </c>
      <c r="S99" s="75">
        <f>'МРСК 2'!D102</f>
        <v>0.015</v>
      </c>
      <c r="T99" s="100">
        <f>'МРСК 2'!E102</f>
        <v>11.423581419265062</v>
      </c>
      <c r="U99" s="77">
        <f>'МРСК 2'!F102</f>
        <v>4</v>
      </c>
      <c r="V99" s="78">
        <f>'МРСК 2'!G102</f>
        <v>0</v>
      </c>
      <c r="W99" s="79">
        <f>'МРСК 2'!H102</f>
        <v>7.423581419265062</v>
      </c>
      <c r="X99" s="79">
        <f>'МРСК 2'!I102</f>
        <v>0</v>
      </c>
      <c r="Y99" s="79">
        <f>'МРСК 2'!J102</f>
        <v>26.25</v>
      </c>
      <c r="Z99" s="76">
        <f>'МРСК 2'!K102</f>
        <v>18.826418580734938</v>
      </c>
      <c r="AA99" s="237"/>
      <c r="AB99" s="81"/>
    </row>
    <row r="100" spans="1:28" ht="21" thickBot="1" thickTop="1">
      <c r="A100" s="82">
        <v>52</v>
      </c>
      <c r="B100" s="210" t="s">
        <v>113</v>
      </c>
      <c r="C100" s="84" t="str">
        <f>'МРСК 2'!C103</f>
        <v>16+16+16</v>
      </c>
      <c r="D100" s="84">
        <f>D101+D102</f>
        <v>20632</v>
      </c>
      <c r="E100" s="84">
        <f>E101+E102</f>
        <v>7838</v>
      </c>
      <c r="F100" s="105">
        <f t="shared" si="5"/>
        <v>22.0706517348265</v>
      </c>
      <c r="G100" s="85">
        <v>2.019</v>
      </c>
      <c r="H100" s="86">
        <v>20</v>
      </c>
      <c r="I100" s="87">
        <f t="shared" si="6"/>
        <v>20.0516517348265</v>
      </c>
      <c r="J100" s="87">
        <v>0</v>
      </c>
      <c r="K100" s="87">
        <v>21</v>
      </c>
      <c r="L100" s="103">
        <v>0.9483482651735002</v>
      </c>
      <c r="M100" s="238">
        <f>MIN(L100:L102)</f>
        <v>0.9483482651735002</v>
      </c>
      <c r="N100" s="88"/>
      <c r="P100" s="82">
        <v>52</v>
      </c>
      <c r="Q100" s="210" t="s">
        <v>113</v>
      </c>
      <c r="R100" s="84" t="str">
        <f>'МРСК 2'!C103</f>
        <v>16+16+16</v>
      </c>
      <c r="S100" s="84">
        <f>'МРСК 2'!D103</f>
        <v>1.312</v>
      </c>
      <c r="T100" s="101">
        <f>'МРСК 2'!E103</f>
        <v>23.382651734826503</v>
      </c>
      <c r="U100" s="85">
        <f>'МРСК 2'!F103</f>
        <v>2.019</v>
      </c>
      <c r="V100" s="86">
        <f>'МРСК 2'!G103</f>
        <v>20</v>
      </c>
      <c r="W100" s="87">
        <f>'МРСК 2'!H103</f>
        <v>21.363651734826504</v>
      </c>
      <c r="X100" s="87">
        <f>'МРСК 2'!I103</f>
        <v>0</v>
      </c>
      <c r="Y100" s="87">
        <f>'МРСК 2'!J103</f>
        <v>33.6</v>
      </c>
      <c r="Z100" s="103">
        <f>'МРСК 2'!K103</f>
        <v>12.236348265173497</v>
      </c>
      <c r="AA100" s="238">
        <f>MIN(Z100:Z102)</f>
        <v>12.236348265173497</v>
      </c>
      <c r="AB100" s="88"/>
    </row>
    <row r="101" spans="1:28" ht="21" thickBot="1" thickTop="1">
      <c r="A101" s="14"/>
      <c r="B101" s="210" t="s">
        <v>59</v>
      </c>
      <c r="C101" s="8" t="str">
        <f>'МРСК 2'!C104</f>
        <v>16+16+16</v>
      </c>
      <c r="D101" s="8">
        <v>8114</v>
      </c>
      <c r="E101" s="8">
        <v>2802</v>
      </c>
      <c r="F101" s="105">
        <f t="shared" si="5"/>
        <v>8.584183129453844</v>
      </c>
      <c r="G101" s="33">
        <v>1.719</v>
      </c>
      <c r="H101" s="47"/>
      <c r="I101" s="15">
        <f t="shared" si="6"/>
        <v>6.865183129453844</v>
      </c>
      <c r="J101" s="15">
        <v>0</v>
      </c>
      <c r="K101" s="31">
        <v>21</v>
      </c>
      <c r="L101" s="46">
        <v>14.134816870546157</v>
      </c>
      <c r="M101" s="236"/>
      <c r="N101" s="34"/>
      <c r="P101" s="14"/>
      <c r="Q101" s="210" t="s">
        <v>59</v>
      </c>
      <c r="R101" s="84" t="str">
        <f>'МРСК 2'!C104</f>
        <v>16+16+16</v>
      </c>
      <c r="S101" s="8">
        <f>'МРСК 2'!D104</f>
        <v>0</v>
      </c>
      <c r="T101" s="99">
        <f>'МРСК 2'!E104</f>
        <v>8.584183129453844</v>
      </c>
      <c r="U101" s="33">
        <f>'МРСК 2'!F104</f>
        <v>1.719</v>
      </c>
      <c r="V101" s="47">
        <f>'МРСК 2'!G104</f>
        <v>0</v>
      </c>
      <c r="W101" s="15">
        <f>'МРСК 2'!H104</f>
        <v>6.865183129453844</v>
      </c>
      <c r="X101" s="15">
        <f>'МРСК 2'!I104</f>
        <v>0</v>
      </c>
      <c r="Y101" s="15">
        <f>'МРСК 2'!J104</f>
        <v>33.6</v>
      </c>
      <c r="Z101" s="46">
        <f>'МРСК 2'!K104</f>
        <v>26.734816870546158</v>
      </c>
      <c r="AA101" s="236"/>
      <c r="AB101" s="34"/>
    </row>
    <row r="102" spans="1:28" ht="21" thickBot="1" thickTop="1">
      <c r="A102" s="74"/>
      <c r="B102" s="210" t="s">
        <v>60</v>
      </c>
      <c r="C102" s="75" t="str">
        <f>'МРСК 2'!C105</f>
        <v>16+16+16</v>
      </c>
      <c r="D102" s="75">
        <v>12518</v>
      </c>
      <c r="E102" s="75">
        <v>5036</v>
      </c>
      <c r="F102" s="105">
        <f t="shared" si="5"/>
        <v>13.493021159102954</v>
      </c>
      <c r="G102" s="77">
        <v>0.3</v>
      </c>
      <c r="H102" s="78"/>
      <c r="I102" s="79">
        <f t="shared" si="6"/>
        <v>13.193021159102953</v>
      </c>
      <c r="J102" s="79">
        <v>0</v>
      </c>
      <c r="K102" s="80">
        <v>21</v>
      </c>
      <c r="L102" s="76">
        <v>7.806978840897047</v>
      </c>
      <c r="M102" s="237"/>
      <c r="N102" s="81"/>
      <c r="P102" s="74"/>
      <c r="Q102" s="210" t="s">
        <v>60</v>
      </c>
      <c r="R102" s="84" t="str">
        <f>'МРСК 2'!C105</f>
        <v>16+16+16</v>
      </c>
      <c r="S102" s="75">
        <f>'МРСК 2'!D105</f>
        <v>1.312</v>
      </c>
      <c r="T102" s="100">
        <f>'МРСК 2'!E105</f>
        <v>14.805021159102953</v>
      </c>
      <c r="U102" s="77">
        <f>'МРСК 2'!F105</f>
        <v>0.3</v>
      </c>
      <c r="V102" s="78">
        <f>'МРСК 2'!G105</f>
        <v>0</v>
      </c>
      <c r="W102" s="79">
        <f>'МРСК 2'!H105</f>
        <v>14.505021159102952</v>
      </c>
      <c r="X102" s="79">
        <f>'МРСК 2'!I105</f>
        <v>0</v>
      </c>
      <c r="Y102" s="79">
        <f>'МРСК 2'!J105</f>
        <v>33.6</v>
      </c>
      <c r="Z102" s="76">
        <f>'МРСК 2'!K105</f>
        <v>19.09497884089705</v>
      </c>
      <c r="AA102" s="237"/>
      <c r="AB102" s="81"/>
    </row>
    <row r="103" spans="1:28" s="198" customFormat="1" ht="21" thickBot="1" thickTop="1">
      <c r="A103" s="14">
        <f>МРСК!A106</f>
        <v>53</v>
      </c>
      <c r="B103" s="14" t="s">
        <v>114</v>
      </c>
      <c r="C103" s="14" t="str">
        <f>МРСК!C106</f>
        <v>16+16</v>
      </c>
      <c r="D103" s="14">
        <f>МРСК!D106</f>
        <v>0</v>
      </c>
      <c r="E103" s="14">
        <f>МРСК!E106</f>
        <v>0</v>
      </c>
      <c r="F103" s="14">
        <f>МРСК!F106</f>
        <v>0</v>
      </c>
      <c r="G103" s="14">
        <f>МРСК!G106</f>
        <v>0</v>
      </c>
      <c r="H103" s="14">
        <f>МРСК!H106</f>
        <v>0</v>
      </c>
      <c r="I103" s="14">
        <f>МРСК!I106</f>
        <v>0</v>
      </c>
      <c r="J103" s="14">
        <f>МРСК!J106</f>
        <v>0</v>
      </c>
      <c r="K103" s="14">
        <f>МРСК!K106</f>
        <v>16.8</v>
      </c>
      <c r="L103" s="14">
        <f>МРСК!L106</f>
        <v>16.8</v>
      </c>
      <c r="M103" s="14">
        <f>МРСК!M106</f>
        <v>16.8</v>
      </c>
      <c r="N103" s="34"/>
      <c r="O103" s="197"/>
      <c r="P103" s="14">
        <f>'МРСК 2'!A109</f>
        <v>54</v>
      </c>
      <c r="Q103" s="14" t="s">
        <v>114</v>
      </c>
      <c r="R103" s="14" t="str">
        <f>'МРСК 2'!C109</f>
        <v>16+16</v>
      </c>
      <c r="S103" s="14">
        <f>'МРСК 2'!D109</f>
        <v>0.65</v>
      </c>
      <c r="T103" s="14">
        <f>'МРСК 2'!E109</f>
        <v>0.65</v>
      </c>
      <c r="U103" s="14">
        <f>'МРСК 2'!F109</f>
        <v>0</v>
      </c>
      <c r="V103" s="14">
        <f>'МРСК 2'!G109</f>
        <v>0</v>
      </c>
      <c r="W103" s="14">
        <f>'МРСК 2'!H109</f>
        <v>0.65</v>
      </c>
      <c r="X103" s="14">
        <f>'МРСК 2'!I109</f>
        <v>0</v>
      </c>
      <c r="Y103" s="14">
        <f>'МРСК 2'!J109</f>
        <v>16.8</v>
      </c>
      <c r="Z103" s="14">
        <f>'МРСК 2'!K109</f>
        <v>16.150000000000002</v>
      </c>
      <c r="AA103" s="14">
        <f>'МРСК 2'!L109</f>
        <v>16.150000000000002</v>
      </c>
      <c r="AB103" s="46"/>
    </row>
    <row r="104" spans="1:28" ht="20.25" thickTop="1">
      <c r="A104" s="82">
        <v>54</v>
      </c>
      <c r="B104" s="210" t="s">
        <v>115</v>
      </c>
      <c r="C104" s="84" t="str">
        <f>'МРСК 2'!C106</f>
        <v>10+10</v>
      </c>
      <c r="D104" s="84">
        <f>D105+D106</f>
        <v>9903</v>
      </c>
      <c r="E104" s="84">
        <f>E105+E106</f>
        <v>3556</v>
      </c>
      <c r="F104" s="105">
        <f t="shared" si="5"/>
        <v>10.522097937198646</v>
      </c>
      <c r="G104" s="85">
        <v>9.158000000000001</v>
      </c>
      <c r="H104" s="86">
        <v>120</v>
      </c>
      <c r="I104" s="87">
        <f t="shared" si="6"/>
        <v>1.364097937198645</v>
      </c>
      <c r="J104" s="87">
        <v>0</v>
      </c>
      <c r="K104" s="87">
        <v>10.5</v>
      </c>
      <c r="L104" s="103">
        <v>9.135902062801355</v>
      </c>
      <c r="M104" s="238">
        <f>MIN(L104:L106)</f>
        <v>9.135902062801355</v>
      </c>
      <c r="N104" s="88"/>
      <c r="P104" s="82">
        <v>54</v>
      </c>
      <c r="Q104" s="210" t="s">
        <v>115</v>
      </c>
      <c r="R104" s="84" t="str">
        <f>'МРСК 2'!C106</f>
        <v>10+10</v>
      </c>
      <c r="S104" s="84">
        <f>'МРСК 2'!D106</f>
        <v>0</v>
      </c>
      <c r="T104" s="101">
        <f>'МРСК 2'!E106</f>
        <v>10.522097937198646</v>
      </c>
      <c r="U104" s="85">
        <f>'МРСК 2'!F106</f>
        <v>9.158000000000001</v>
      </c>
      <c r="V104" s="86">
        <f>'МРСК 2'!G106</f>
        <v>120</v>
      </c>
      <c r="W104" s="87">
        <f>'МРСК 2'!H106</f>
        <v>1.364097937198645</v>
      </c>
      <c r="X104" s="87">
        <f>'МРСК 2'!I106</f>
        <v>0</v>
      </c>
      <c r="Y104" s="87">
        <f>'МРСК 2'!J106</f>
        <v>10.5</v>
      </c>
      <c r="Z104" s="103">
        <f>'МРСК 2'!K106</f>
        <v>9.135902062801355</v>
      </c>
      <c r="AA104" s="238">
        <f>MIN(Z104:Z106)</f>
        <v>9.135902062801355</v>
      </c>
      <c r="AB104" s="88"/>
    </row>
    <row r="105" spans="1:28" ht="19.5">
      <c r="A105" s="14"/>
      <c r="B105" s="210" t="s">
        <v>59</v>
      </c>
      <c r="C105" s="8" t="str">
        <f>'МРСК 2'!C107</f>
        <v>10+10</v>
      </c>
      <c r="D105" s="8">
        <v>4393</v>
      </c>
      <c r="E105" s="8">
        <v>1542</v>
      </c>
      <c r="F105" s="105">
        <f t="shared" si="5"/>
        <v>4.655772009022779</v>
      </c>
      <c r="G105" s="33">
        <v>3.52</v>
      </c>
      <c r="H105" s="47"/>
      <c r="I105" s="15">
        <f t="shared" si="6"/>
        <v>1.1357720090227788</v>
      </c>
      <c r="J105" s="15">
        <v>0</v>
      </c>
      <c r="K105" s="31">
        <v>10.5</v>
      </c>
      <c r="L105" s="46">
        <v>9.364227990977222</v>
      </c>
      <c r="M105" s="236"/>
      <c r="N105" s="34"/>
      <c r="P105" s="14"/>
      <c r="Q105" s="210" t="s">
        <v>59</v>
      </c>
      <c r="R105" s="8" t="str">
        <f>'МРСК 2'!C107</f>
        <v>10+10</v>
      </c>
      <c r="S105" s="8">
        <f>'МРСК 2'!D107</f>
        <v>0</v>
      </c>
      <c r="T105" s="99">
        <f>'МРСК 2'!E107</f>
        <v>4.655772009022779</v>
      </c>
      <c r="U105" s="33">
        <f>'МРСК 2'!F107</f>
        <v>3.52</v>
      </c>
      <c r="V105" s="47">
        <f>'МРСК 2'!G107</f>
        <v>0</v>
      </c>
      <c r="W105" s="15">
        <f>'МРСК 2'!H107</f>
        <v>1.1357720090227788</v>
      </c>
      <c r="X105" s="15">
        <f>'МРСК 2'!I107</f>
        <v>0</v>
      </c>
      <c r="Y105" s="15">
        <f>'МРСК 2'!J107</f>
        <v>10.5</v>
      </c>
      <c r="Z105" s="46">
        <f>'МРСК 2'!K107</f>
        <v>9.364227990977222</v>
      </c>
      <c r="AA105" s="236"/>
      <c r="AB105" s="34"/>
    </row>
    <row r="106" spans="1:28" ht="20.25" thickBot="1">
      <c r="A106" s="74"/>
      <c r="B106" s="210" t="s">
        <v>60</v>
      </c>
      <c r="C106" s="75" t="str">
        <f>'МРСК 2'!C108</f>
        <v>10+10</v>
      </c>
      <c r="D106" s="75">
        <v>5510</v>
      </c>
      <c r="E106" s="75">
        <v>2014</v>
      </c>
      <c r="F106" s="105">
        <f t="shared" si="5"/>
        <v>5.866540377428591</v>
      </c>
      <c r="G106" s="77">
        <v>5.638000000000001</v>
      </c>
      <c r="H106" s="78"/>
      <c r="I106" s="79">
        <f t="shared" si="6"/>
        <v>0.22854037742859035</v>
      </c>
      <c r="J106" s="79">
        <v>0</v>
      </c>
      <c r="K106" s="80">
        <v>10.5</v>
      </c>
      <c r="L106" s="76">
        <v>10.27145962257141</v>
      </c>
      <c r="M106" s="237"/>
      <c r="N106" s="81"/>
      <c r="P106" s="74"/>
      <c r="Q106" s="210" t="s">
        <v>60</v>
      </c>
      <c r="R106" s="75" t="str">
        <f>'МРСК 2'!C108</f>
        <v>10+10</v>
      </c>
      <c r="S106" s="75">
        <f>'МРСК 2'!D108</f>
        <v>0</v>
      </c>
      <c r="T106" s="100">
        <f>'МРСК 2'!E108</f>
        <v>5.866540377428591</v>
      </c>
      <c r="U106" s="77">
        <f>'МРСК 2'!F108</f>
        <v>5.638000000000001</v>
      </c>
      <c r="V106" s="78">
        <f>'МРСК 2'!G108</f>
        <v>0</v>
      </c>
      <c r="W106" s="79">
        <f>'МРСК 2'!H108</f>
        <v>0.22854037742859035</v>
      </c>
      <c r="X106" s="79">
        <f>'МРСК 2'!I108</f>
        <v>0</v>
      </c>
      <c r="Y106" s="79">
        <f>'МРСК 2'!J108</f>
        <v>10.5</v>
      </c>
      <c r="Z106" s="76">
        <f>'МРСК 2'!K108</f>
        <v>10.27145962257141</v>
      </c>
      <c r="AA106" s="237"/>
      <c r="AB106" s="81"/>
    </row>
    <row r="107" spans="1:28" ht="21" thickBot="1" thickTop="1">
      <c r="A107" s="185">
        <v>55</v>
      </c>
      <c r="B107" s="83" t="s">
        <v>116</v>
      </c>
      <c r="C107" s="84" t="str">
        <f>'МРСК 2'!C110</f>
        <v>40+40</v>
      </c>
      <c r="D107" s="84">
        <v>2581</v>
      </c>
      <c r="E107" s="84">
        <v>670</v>
      </c>
      <c r="F107" s="186">
        <f t="shared" si="5"/>
        <v>2.666544768047219</v>
      </c>
      <c r="G107" s="85"/>
      <c r="H107" s="84"/>
      <c r="I107" s="101">
        <f t="shared" si="6"/>
        <v>2.666544768047219</v>
      </c>
      <c r="J107" s="101">
        <v>0</v>
      </c>
      <c r="K107" s="101">
        <v>42</v>
      </c>
      <c r="L107" s="187">
        <v>39.33345523195278</v>
      </c>
      <c r="M107" s="188">
        <f>L107</f>
        <v>39.33345523195278</v>
      </c>
      <c r="N107" s="178"/>
      <c r="P107" s="82">
        <v>55</v>
      </c>
      <c r="Q107" s="83" t="s">
        <v>116</v>
      </c>
      <c r="R107" s="84" t="str">
        <f>'МРСК 2'!C110</f>
        <v>40+40</v>
      </c>
      <c r="S107" s="84">
        <f>'МРСК 2'!D110</f>
        <v>0.035</v>
      </c>
      <c r="T107" s="101">
        <f>'МРСК 2'!E110</f>
        <v>2.7015447680472193</v>
      </c>
      <c r="U107" s="85">
        <f>'МРСК 2'!F110</f>
        <v>0</v>
      </c>
      <c r="V107" s="86">
        <f>'МРСК 2'!G110</f>
        <v>0</v>
      </c>
      <c r="W107" s="87">
        <f>'МРСК 2'!H110</f>
        <v>2.7015447680472193</v>
      </c>
      <c r="X107" s="87">
        <f>'МРСК 2'!I110</f>
        <v>0</v>
      </c>
      <c r="Y107" s="87">
        <f>'МРСК 2'!J110</f>
        <v>42</v>
      </c>
      <c r="Z107" s="103">
        <f>'МРСК 2'!K110</f>
        <v>39.29845523195278</v>
      </c>
      <c r="AA107" s="182" t="e">
        <f>'МРСК 2'!L110:L112</f>
        <v>#VALUE!</v>
      </c>
      <c r="AB107" s="88"/>
    </row>
    <row r="108" spans="1:28" ht="20.25" thickTop="1">
      <c r="A108" s="82">
        <v>56</v>
      </c>
      <c r="B108" s="210" t="s">
        <v>117</v>
      </c>
      <c r="C108" s="84" t="str">
        <f>'МРСК 2'!C111</f>
        <v>16+16</v>
      </c>
      <c r="D108" s="84">
        <f>D109+D110</f>
        <v>7328</v>
      </c>
      <c r="E108" s="84">
        <f>E109+E110</f>
        <v>4264</v>
      </c>
      <c r="F108" s="105">
        <f t="shared" si="5"/>
        <v>8.478282845010538</v>
      </c>
      <c r="G108" s="85">
        <v>11.48</v>
      </c>
      <c r="H108" s="86">
        <v>45</v>
      </c>
      <c r="I108" s="87">
        <f t="shared" si="6"/>
        <v>-3.0017171549894623</v>
      </c>
      <c r="J108" s="87">
        <v>0</v>
      </c>
      <c r="K108" s="87">
        <v>16.8</v>
      </c>
      <c r="L108" s="103">
        <v>19.80171715498946</v>
      </c>
      <c r="M108" s="238">
        <f>MIN(L108:L110)</f>
        <v>17.792013955820387</v>
      </c>
      <c r="N108" s="88"/>
      <c r="P108" s="82">
        <v>56</v>
      </c>
      <c r="Q108" s="210" t="s">
        <v>117</v>
      </c>
      <c r="R108" s="84" t="str">
        <f>'МРСК 2'!C111</f>
        <v>16+16</v>
      </c>
      <c r="S108" s="84">
        <f>'МРСК 2'!D111</f>
        <v>0</v>
      </c>
      <c r="T108" s="101">
        <f>'МРСК 2'!E111</f>
        <v>8.478282845010538</v>
      </c>
      <c r="U108" s="85">
        <f>'МРСК 2'!F111</f>
        <v>11.48</v>
      </c>
      <c r="V108" s="86">
        <f>'МРСК 2'!G111</f>
        <v>45</v>
      </c>
      <c r="W108" s="87">
        <f>'МРСК 2'!H111</f>
        <v>-3.0017171549894623</v>
      </c>
      <c r="X108" s="87">
        <f>'МРСК 2'!I111</f>
        <v>0</v>
      </c>
      <c r="Y108" s="87">
        <f>'МРСК 2'!J111</f>
        <v>16.8</v>
      </c>
      <c r="Z108" s="103">
        <f>'МРСК 2'!K111</f>
        <v>19.80171715498946</v>
      </c>
      <c r="AA108" s="238">
        <f>MIN(Z108:Z110)</f>
        <v>17.792013955820387</v>
      </c>
      <c r="AB108" s="88"/>
    </row>
    <row r="109" spans="1:28" ht="19.5">
      <c r="A109" s="14"/>
      <c r="B109" s="210" t="s">
        <v>59</v>
      </c>
      <c r="C109" s="8" t="str">
        <f>'МРСК 2'!C112</f>
        <v>16+16</v>
      </c>
      <c r="D109" s="8">
        <v>6384</v>
      </c>
      <c r="E109" s="8">
        <v>3830</v>
      </c>
      <c r="F109" s="105">
        <f t="shared" si="5"/>
        <v>7.444753588937648</v>
      </c>
      <c r="G109" s="33">
        <v>9.449</v>
      </c>
      <c r="H109" s="47"/>
      <c r="I109" s="15">
        <f t="shared" si="6"/>
        <v>-2.0042464110623515</v>
      </c>
      <c r="J109" s="15">
        <v>0</v>
      </c>
      <c r="K109" s="31">
        <v>16.8</v>
      </c>
      <c r="L109" s="46">
        <v>18.80424641106235</v>
      </c>
      <c r="M109" s="236"/>
      <c r="N109" s="34"/>
      <c r="P109" s="14"/>
      <c r="Q109" s="210" t="s">
        <v>59</v>
      </c>
      <c r="R109" s="8" t="str">
        <f>'МРСК 2'!C112</f>
        <v>16+16</v>
      </c>
      <c r="S109" s="8">
        <f>'МРСК 2'!D112</f>
        <v>0</v>
      </c>
      <c r="T109" s="99">
        <f>'МРСК 2'!E112</f>
        <v>7.444753588937648</v>
      </c>
      <c r="U109" s="33">
        <f>'МРСК 2'!F112</f>
        <v>9.449</v>
      </c>
      <c r="V109" s="47">
        <f>'МРСК 2'!G112</f>
        <v>0</v>
      </c>
      <c r="W109" s="15">
        <f>'МРСК 2'!H112</f>
        <v>-2.0042464110623515</v>
      </c>
      <c r="X109" s="15">
        <f>'МРСК 2'!I112</f>
        <v>0</v>
      </c>
      <c r="Y109" s="15">
        <f>'МРСК 2'!J112</f>
        <v>16.8</v>
      </c>
      <c r="Z109" s="46">
        <f>'МРСК 2'!K112</f>
        <v>18.80424641106235</v>
      </c>
      <c r="AA109" s="236"/>
      <c r="AB109" s="34"/>
    </row>
    <row r="110" spans="1:28" ht="20.25" thickBot="1">
      <c r="A110" s="74"/>
      <c r="B110" s="210" t="s">
        <v>60</v>
      </c>
      <c r="C110" s="75" t="str">
        <f>'МРСК 2'!C113</f>
        <v>16+16</v>
      </c>
      <c r="D110" s="75">
        <v>944</v>
      </c>
      <c r="E110" s="75">
        <v>434</v>
      </c>
      <c r="F110" s="105">
        <f t="shared" si="5"/>
        <v>1.0389860441796126</v>
      </c>
      <c r="G110" s="77">
        <v>2.0310000000000006</v>
      </c>
      <c r="H110" s="78"/>
      <c r="I110" s="79">
        <f t="shared" si="6"/>
        <v>-0.992013955820388</v>
      </c>
      <c r="J110" s="79">
        <v>0</v>
      </c>
      <c r="K110" s="80">
        <v>16.8</v>
      </c>
      <c r="L110" s="76">
        <v>17.792013955820387</v>
      </c>
      <c r="M110" s="237"/>
      <c r="N110" s="81"/>
      <c r="P110" s="74"/>
      <c r="Q110" s="210" t="s">
        <v>60</v>
      </c>
      <c r="R110" s="75" t="str">
        <f>'МРСК 2'!C113</f>
        <v>16+16</v>
      </c>
      <c r="S110" s="75">
        <f>'МРСК 2'!D113</f>
        <v>0</v>
      </c>
      <c r="T110" s="100">
        <f>'МРСК 2'!E113</f>
        <v>1.0389860441796126</v>
      </c>
      <c r="U110" s="77">
        <f>'МРСК 2'!F113</f>
        <v>2.0310000000000006</v>
      </c>
      <c r="V110" s="78">
        <f>'МРСК 2'!G113</f>
        <v>0</v>
      </c>
      <c r="W110" s="79">
        <f>'МРСК 2'!H113</f>
        <v>-0.992013955820388</v>
      </c>
      <c r="X110" s="79">
        <f>'МРСК 2'!I113</f>
        <v>0</v>
      </c>
      <c r="Y110" s="79">
        <f>'МРСК 2'!J113</f>
        <v>16.8</v>
      </c>
      <c r="Z110" s="76">
        <f>'МРСК 2'!K113</f>
        <v>17.792013955820387</v>
      </c>
      <c r="AA110" s="237"/>
      <c r="AB110" s="81"/>
    </row>
    <row r="111" spans="1:28" ht="20.25" thickTop="1">
      <c r="A111" s="82">
        <v>57</v>
      </c>
      <c r="B111" s="210" t="s">
        <v>118</v>
      </c>
      <c r="C111" s="84" t="str">
        <f>'МРСК 2'!C114</f>
        <v>25+31,5</v>
      </c>
      <c r="D111" s="84">
        <f>D112+D113</f>
        <v>21159</v>
      </c>
      <c r="E111" s="84">
        <f>E112+E113</f>
        <v>8583</v>
      </c>
      <c r="F111" s="105">
        <f t="shared" si="5"/>
        <v>22.83355359991081</v>
      </c>
      <c r="G111" s="85">
        <v>9.119</v>
      </c>
      <c r="H111" s="86">
        <v>80</v>
      </c>
      <c r="I111" s="87">
        <f t="shared" si="6"/>
        <v>13.714553599910811</v>
      </c>
      <c r="J111" s="87">
        <v>0</v>
      </c>
      <c r="K111" s="87">
        <v>26.25</v>
      </c>
      <c r="L111" s="103">
        <v>12.535446400089189</v>
      </c>
      <c r="M111" s="238">
        <f>MIN(L111:L113)</f>
        <v>12.535446400089189</v>
      </c>
      <c r="N111" s="88"/>
      <c r="P111" s="82">
        <v>57</v>
      </c>
      <c r="Q111" s="210" t="s">
        <v>118</v>
      </c>
      <c r="R111" s="84" t="str">
        <f>'МРСК 2'!C114</f>
        <v>25+31,5</v>
      </c>
      <c r="S111" s="84">
        <f>'МРСК 2'!D114</f>
        <v>0.305</v>
      </c>
      <c r="T111" s="101">
        <f>'МРСК 2'!E114</f>
        <v>23.13855359991081</v>
      </c>
      <c r="U111" s="85">
        <f>'МРСК 2'!F114</f>
        <v>9.119</v>
      </c>
      <c r="V111" s="86">
        <f>'МРСК 2'!G114</f>
        <v>80</v>
      </c>
      <c r="W111" s="87">
        <f>'МРСК 2'!H114</f>
        <v>14.019553599910811</v>
      </c>
      <c r="X111" s="87">
        <f>'МРСК 2'!I114</f>
        <v>0</v>
      </c>
      <c r="Y111" s="87">
        <f>'МРСК 2'!J114</f>
        <v>26.25</v>
      </c>
      <c r="Z111" s="103">
        <f>'МРСК 2'!K114</f>
        <v>12.230446400089189</v>
      </c>
      <c r="AA111" s="238">
        <f>MIN(Z111:Z113)</f>
        <v>12.230446400089189</v>
      </c>
      <c r="AB111" s="88"/>
    </row>
    <row r="112" spans="1:28" ht="19.5">
      <c r="A112" s="14"/>
      <c r="B112" s="210" t="s">
        <v>59</v>
      </c>
      <c r="C112" s="8" t="str">
        <f>'МРСК 2'!C115</f>
        <v>25+31,5</v>
      </c>
      <c r="D112" s="8">
        <v>7395</v>
      </c>
      <c r="E112" s="8">
        <v>3599</v>
      </c>
      <c r="F112" s="105">
        <f t="shared" si="5"/>
        <v>8.224282704284915</v>
      </c>
      <c r="G112" s="33">
        <v>7.83</v>
      </c>
      <c r="H112" s="47"/>
      <c r="I112" s="15">
        <f t="shared" si="6"/>
        <v>0.3942827042849153</v>
      </c>
      <c r="J112" s="15">
        <v>0</v>
      </c>
      <c r="K112" s="31">
        <v>26.25</v>
      </c>
      <c r="L112" s="46">
        <v>25.855717295715085</v>
      </c>
      <c r="M112" s="236"/>
      <c r="N112" s="34"/>
      <c r="P112" s="14"/>
      <c r="Q112" s="210" t="s">
        <v>59</v>
      </c>
      <c r="R112" s="8" t="str">
        <f>'МРСК 2'!C115</f>
        <v>25+31,5</v>
      </c>
      <c r="S112" s="8">
        <f>'МРСК 2'!D115</f>
        <v>0</v>
      </c>
      <c r="T112" s="99">
        <f>'МРСК 2'!E115</f>
        <v>8.224282704284915</v>
      </c>
      <c r="U112" s="33">
        <f>'МРСК 2'!F115</f>
        <v>7.83</v>
      </c>
      <c r="V112" s="47">
        <f>'МРСК 2'!G115</f>
        <v>0</v>
      </c>
      <c r="W112" s="15">
        <f>'МРСК 2'!H115</f>
        <v>0.3942827042849153</v>
      </c>
      <c r="X112" s="15">
        <f>'МРСК 2'!I115</f>
        <v>0</v>
      </c>
      <c r="Y112" s="15">
        <f>'МРСК 2'!J115</f>
        <v>26.25</v>
      </c>
      <c r="Z112" s="46">
        <f>'МРСК 2'!K115</f>
        <v>25.855717295715085</v>
      </c>
      <c r="AA112" s="236"/>
      <c r="AB112" s="34"/>
    </row>
    <row r="113" spans="1:28" ht="20.25" thickBot="1">
      <c r="A113" s="74"/>
      <c r="B113" s="210" t="s">
        <v>60</v>
      </c>
      <c r="C113" s="75" t="str">
        <f>'МРСК 2'!C116</f>
        <v>25+31,5</v>
      </c>
      <c r="D113" s="75">
        <v>13764</v>
      </c>
      <c r="E113" s="75">
        <v>4984</v>
      </c>
      <c r="F113" s="105">
        <f aca="true" t="shared" si="7" ref="F113:F176">SQRT(D113*D113+E113*E113)/1000</f>
        <v>14.638577526522173</v>
      </c>
      <c r="G113" s="77">
        <v>1.2889999999999997</v>
      </c>
      <c r="H113" s="78"/>
      <c r="I113" s="79">
        <f t="shared" si="6"/>
        <v>13.349577526522173</v>
      </c>
      <c r="J113" s="79">
        <v>0</v>
      </c>
      <c r="K113" s="80">
        <v>26.25</v>
      </c>
      <c r="L113" s="76">
        <v>12.900422473477827</v>
      </c>
      <c r="M113" s="237"/>
      <c r="N113" s="81"/>
      <c r="P113" s="74"/>
      <c r="Q113" s="210" t="s">
        <v>60</v>
      </c>
      <c r="R113" s="75" t="str">
        <f>'МРСК 2'!C116</f>
        <v>25+31,5</v>
      </c>
      <c r="S113" s="75">
        <f>'МРСК 2'!D116</f>
        <v>0.305</v>
      </c>
      <c r="T113" s="100">
        <f>'МРСК 2'!E116</f>
        <v>14.943577526522173</v>
      </c>
      <c r="U113" s="77">
        <f>'МРСК 2'!F116</f>
        <v>1.2889999999999997</v>
      </c>
      <c r="V113" s="78">
        <f>'МРСК 2'!G116</f>
        <v>0</v>
      </c>
      <c r="W113" s="79">
        <f>'МРСК 2'!H116</f>
        <v>13.654577526522173</v>
      </c>
      <c r="X113" s="79">
        <f>'МРСК 2'!I116</f>
        <v>0</v>
      </c>
      <c r="Y113" s="79">
        <f>'МРСК 2'!J116</f>
        <v>26.25</v>
      </c>
      <c r="Z113" s="76">
        <f>'МРСК 2'!K116</f>
        <v>12.595422473477827</v>
      </c>
      <c r="AA113" s="237"/>
      <c r="AB113" s="81"/>
    </row>
    <row r="114" spans="1:28" ht="20.25" thickTop="1">
      <c r="A114" s="14">
        <v>58</v>
      </c>
      <c r="B114" s="210" t="s">
        <v>119</v>
      </c>
      <c r="C114" s="47" t="str">
        <f>'МРСК 2'!C117</f>
        <v>25+25</v>
      </c>
      <c r="D114" s="47">
        <v>2272</v>
      </c>
      <c r="E114" s="47">
        <v>372</v>
      </c>
      <c r="F114" s="105">
        <f t="shared" si="7"/>
        <v>2.3022528097496155</v>
      </c>
      <c r="G114" s="46">
        <v>0</v>
      </c>
      <c r="H114" s="16"/>
      <c r="I114" s="46">
        <f aca="true" t="shared" si="8" ref="I114:I177">F114-G114</f>
        <v>2.3022528097496155</v>
      </c>
      <c r="J114" s="15">
        <v>0</v>
      </c>
      <c r="K114" s="45">
        <v>26.25</v>
      </c>
      <c r="L114" s="105">
        <v>23.947747190250386</v>
      </c>
      <c r="M114" s="46">
        <f>MIN(L114:L114)</f>
        <v>23.947747190250386</v>
      </c>
      <c r="N114" s="34"/>
      <c r="P114" s="14">
        <v>58</v>
      </c>
      <c r="Q114" s="210" t="s">
        <v>119</v>
      </c>
      <c r="R114" s="47" t="str">
        <f>'МРСК 2'!C117</f>
        <v>25+25</v>
      </c>
      <c r="S114" s="47">
        <f>'МРСК 2'!D117</f>
        <v>0</v>
      </c>
      <c r="T114" s="15">
        <f>'МРСК 2'!E117</f>
        <v>2.3022528097496155</v>
      </c>
      <c r="U114" s="46">
        <f>'МРСК 2'!F117</f>
        <v>0</v>
      </c>
      <c r="V114" s="16">
        <f>'МРСК 2'!G117</f>
        <v>0</v>
      </c>
      <c r="W114" s="46">
        <f>'МРСК 2'!H117</f>
        <v>2.3022528097496155</v>
      </c>
      <c r="X114" s="15">
        <f>'МРСК 2'!I117</f>
        <v>0</v>
      </c>
      <c r="Y114" s="48">
        <f>'МРСК 2'!J117</f>
        <v>26.25</v>
      </c>
      <c r="Z114" s="46">
        <f>'МРСК 2'!K117</f>
        <v>23.947747190250386</v>
      </c>
      <c r="AA114" s="46" t="e">
        <f>'МРСК 2'!L117:L119</f>
        <v>#VALUE!</v>
      </c>
      <c r="AB114" s="34"/>
    </row>
    <row r="115" spans="1:28" ht="19.5">
      <c r="A115" s="14">
        <v>59</v>
      </c>
      <c r="B115" s="210" t="s">
        <v>120</v>
      </c>
      <c r="C115" s="47" t="str">
        <f>'МРСК 2'!C118</f>
        <v>16+16</v>
      </c>
      <c r="D115" s="47">
        <v>5231</v>
      </c>
      <c r="E115" s="47">
        <v>2499</v>
      </c>
      <c r="F115" s="105">
        <f t="shared" si="7"/>
        <v>5.797271944630509</v>
      </c>
      <c r="G115" s="46">
        <v>0</v>
      </c>
      <c r="H115" s="16"/>
      <c r="I115" s="46">
        <f t="shared" si="8"/>
        <v>5.797271944630509</v>
      </c>
      <c r="J115" s="15">
        <v>0</v>
      </c>
      <c r="K115" s="45">
        <v>16.8</v>
      </c>
      <c r="L115" s="105">
        <v>11.002728055369491</v>
      </c>
      <c r="M115" s="46">
        <f>L115</f>
        <v>11.002728055369491</v>
      </c>
      <c r="N115" s="34"/>
      <c r="P115" s="14">
        <v>59</v>
      </c>
      <c r="Q115" s="210" t="s">
        <v>120</v>
      </c>
      <c r="R115" s="47" t="str">
        <f>'МРСК 2'!C118</f>
        <v>16+16</v>
      </c>
      <c r="S115" s="47">
        <f>'МРСК 2'!D118</f>
        <v>0</v>
      </c>
      <c r="T115" s="15">
        <f>'МРСК 2'!E118</f>
        <v>5.797271944630509</v>
      </c>
      <c r="U115" s="46">
        <f>'МРСК 2'!F118</f>
        <v>0</v>
      </c>
      <c r="V115" s="16">
        <f>'МРСК 2'!G118</f>
        <v>0</v>
      </c>
      <c r="W115" s="46">
        <f>'МРСК 2'!H118</f>
        <v>5.797271944630509</v>
      </c>
      <c r="X115" s="15">
        <f>'МРСК 2'!I118</f>
        <v>0</v>
      </c>
      <c r="Y115" s="48">
        <f>'МРСК 2'!J118</f>
        <v>16.8</v>
      </c>
      <c r="Z115" s="46">
        <f>'МРСК 2'!K118</f>
        <v>11.002728055369491</v>
      </c>
      <c r="AA115" s="46" t="e">
        <f>'МРСК 2'!L118:L120</f>
        <v>#VALUE!</v>
      </c>
      <c r="AB115" s="34"/>
    </row>
    <row r="116" spans="1:28" ht="19.5">
      <c r="A116" s="14">
        <v>60</v>
      </c>
      <c r="B116" s="210" t="s">
        <v>121</v>
      </c>
      <c r="C116" s="47" t="str">
        <f>'МРСК 2'!C119</f>
        <v>25+25</v>
      </c>
      <c r="D116" s="47">
        <v>15509</v>
      </c>
      <c r="E116" s="47">
        <v>7413</v>
      </c>
      <c r="F116" s="105">
        <f t="shared" si="7"/>
        <v>17.189579692360137</v>
      </c>
      <c r="G116" s="46">
        <v>0</v>
      </c>
      <c r="H116" s="16"/>
      <c r="I116" s="46">
        <f t="shared" si="8"/>
        <v>17.189579692360137</v>
      </c>
      <c r="J116" s="15">
        <v>0</v>
      </c>
      <c r="K116" s="45">
        <v>26.25</v>
      </c>
      <c r="L116" s="105">
        <v>9.060420307639863</v>
      </c>
      <c r="M116" s="46">
        <f>MIN(L116:L116)</f>
        <v>9.060420307639863</v>
      </c>
      <c r="N116" s="34"/>
      <c r="P116" s="14">
        <v>60</v>
      </c>
      <c r="Q116" s="210" t="s">
        <v>121</v>
      </c>
      <c r="R116" s="47" t="str">
        <f>'МРСК 2'!C119</f>
        <v>25+25</v>
      </c>
      <c r="S116" s="47">
        <f>'МРСК 2'!D119</f>
        <v>3.4417</v>
      </c>
      <c r="T116" s="15">
        <f>'МРСК 2'!E119</f>
        <v>20.63127969236014</v>
      </c>
      <c r="U116" s="46">
        <f>'МРСК 2'!F119</f>
        <v>0</v>
      </c>
      <c r="V116" s="16">
        <f>'МРСК 2'!G119</f>
        <v>0</v>
      </c>
      <c r="W116" s="46">
        <f>'МРСК 2'!H119</f>
        <v>20.63127969236014</v>
      </c>
      <c r="X116" s="15">
        <f>'МРСК 2'!I119</f>
        <v>0</v>
      </c>
      <c r="Y116" s="48">
        <f>'МРСК 2'!J119</f>
        <v>26.25</v>
      </c>
      <c r="Z116" s="46">
        <f>'МРСК 2'!K119</f>
        <v>5.618720307639862</v>
      </c>
      <c r="AA116" s="46" t="e">
        <f>'МРСК 2'!L119:L121</f>
        <v>#VALUE!</v>
      </c>
      <c r="AB116" s="34"/>
    </row>
    <row r="117" spans="1:28" ht="19.5">
      <c r="A117" s="14">
        <v>61</v>
      </c>
      <c r="B117" s="210" t="s">
        <v>122</v>
      </c>
      <c r="C117" s="47" t="str">
        <f>'МРСК 2'!C120</f>
        <v>16+16</v>
      </c>
      <c r="D117" s="47">
        <v>9980</v>
      </c>
      <c r="E117" s="47">
        <v>5649</v>
      </c>
      <c r="F117" s="105">
        <f t="shared" si="7"/>
        <v>11.467850757661612</v>
      </c>
      <c r="G117" s="46">
        <v>1.296</v>
      </c>
      <c r="H117" s="16">
        <v>80</v>
      </c>
      <c r="I117" s="46">
        <f t="shared" si="8"/>
        <v>10.171850757661613</v>
      </c>
      <c r="J117" s="15">
        <v>0</v>
      </c>
      <c r="K117" s="45">
        <v>16.8</v>
      </c>
      <c r="L117" s="105">
        <v>6.628149242338388</v>
      </c>
      <c r="M117" s="46">
        <f>L117</f>
        <v>6.628149242338388</v>
      </c>
      <c r="N117" s="34"/>
      <c r="P117" s="14">
        <v>61</v>
      </c>
      <c r="Q117" s="210" t="s">
        <v>122</v>
      </c>
      <c r="R117" s="47" t="str">
        <f>'МРСК 2'!C120</f>
        <v>16+16</v>
      </c>
      <c r="S117" s="47">
        <f>'МРСК 2'!D120</f>
        <v>3.29</v>
      </c>
      <c r="T117" s="15">
        <f>'МРСК 2'!E120</f>
        <v>14.757850757661611</v>
      </c>
      <c r="U117" s="46">
        <f>'МРСК 2'!F120</f>
        <v>1.296</v>
      </c>
      <c r="V117" s="16">
        <f>'МРСК 2'!G120</f>
        <v>80</v>
      </c>
      <c r="W117" s="46">
        <f>'МРСК 2'!H120</f>
        <v>13.461850757661612</v>
      </c>
      <c r="X117" s="15">
        <f>'МРСК 2'!I120</f>
        <v>0</v>
      </c>
      <c r="Y117" s="48">
        <f>'МРСК 2'!J120</f>
        <v>16.8</v>
      </c>
      <c r="Z117" s="46">
        <f>'МРСК 2'!K120</f>
        <v>3.338149242338389</v>
      </c>
      <c r="AA117" s="46" t="e">
        <f>'МРСК 2'!L120:L122</f>
        <v>#VALUE!</v>
      </c>
      <c r="AB117" s="34"/>
    </row>
    <row r="118" spans="1:28" ht="20.25" thickBot="1">
      <c r="A118" s="14">
        <v>62</v>
      </c>
      <c r="B118" s="210" t="s">
        <v>123</v>
      </c>
      <c r="C118" s="47" t="str">
        <f>'МРСК 2'!C121</f>
        <v>40+40</v>
      </c>
      <c r="D118" s="47">
        <v>33540</v>
      </c>
      <c r="E118" s="47">
        <v>9360</v>
      </c>
      <c r="F118" s="105">
        <f t="shared" si="7"/>
        <v>34.82156228545755</v>
      </c>
      <c r="G118" s="46">
        <v>0</v>
      </c>
      <c r="H118" s="47">
        <v>60</v>
      </c>
      <c r="I118" s="46">
        <f t="shared" si="8"/>
        <v>34.82156228545755</v>
      </c>
      <c r="J118" s="15">
        <v>0</v>
      </c>
      <c r="K118" s="45">
        <v>42</v>
      </c>
      <c r="L118" s="105">
        <v>7.178437714542447</v>
      </c>
      <c r="M118" s="46">
        <f>MIN(L118:L118)</f>
        <v>7.178437714542447</v>
      </c>
      <c r="N118" s="34"/>
      <c r="P118" s="14">
        <v>62</v>
      </c>
      <c r="Q118" s="210" t="s">
        <v>123</v>
      </c>
      <c r="R118" s="47" t="str">
        <f>'МРСК 2'!C121</f>
        <v>40+40</v>
      </c>
      <c r="S118" s="47">
        <f>'МРСК 2'!D121</f>
        <v>0.088</v>
      </c>
      <c r="T118" s="15">
        <f>'МРСК 2'!E121</f>
        <v>34.909562285457554</v>
      </c>
      <c r="U118" s="46">
        <f>'МРСК 2'!F121</f>
        <v>0</v>
      </c>
      <c r="V118" s="47">
        <f>'МРСК 2'!G121</f>
        <v>60</v>
      </c>
      <c r="W118" s="46">
        <f>'МРСК 2'!H121</f>
        <v>34.909562285457554</v>
      </c>
      <c r="X118" s="15">
        <f>'МРСК 2'!I121</f>
        <v>0</v>
      </c>
      <c r="Y118" s="48">
        <f>'МРСК 2'!J121</f>
        <v>42</v>
      </c>
      <c r="Z118" s="46">
        <f>'МРСК 2'!K121</f>
        <v>7.090437714542446</v>
      </c>
      <c r="AA118" s="46" t="e">
        <f>'МРСК 2'!L121:L123</f>
        <v>#VALUE!</v>
      </c>
      <c r="AB118" s="34"/>
    </row>
    <row r="119" spans="1:28" ht="21" thickBot="1" thickTop="1">
      <c r="A119" s="14">
        <v>63</v>
      </c>
      <c r="B119" s="210" t="s">
        <v>124</v>
      </c>
      <c r="C119" s="84" t="str">
        <f>'МРСК 2'!C122</f>
        <v>10+10</v>
      </c>
      <c r="D119" s="84">
        <f>D120+D121</f>
        <v>10160</v>
      </c>
      <c r="E119" s="84">
        <f>E120+E121</f>
        <v>3946</v>
      </c>
      <c r="F119" s="105">
        <f t="shared" si="7"/>
        <v>10.89938145033928</v>
      </c>
      <c r="G119" s="85">
        <v>8.98</v>
      </c>
      <c r="H119" s="86">
        <v>120</v>
      </c>
      <c r="I119" s="87">
        <f t="shared" si="8"/>
        <v>1.91938145033928</v>
      </c>
      <c r="J119" s="87">
        <v>0</v>
      </c>
      <c r="K119" s="87">
        <v>10.5</v>
      </c>
      <c r="L119" s="103">
        <v>8.58061854966072</v>
      </c>
      <c r="M119" s="238">
        <f>MIN(L119:L121)</f>
        <v>7.7972138026641</v>
      </c>
      <c r="N119" s="88"/>
      <c r="P119" s="14">
        <v>63</v>
      </c>
      <c r="Q119" s="210" t="s">
        <v>124</v>
      </c>
      <c r="R119" s="84" t="str">
        <f>'МРСК 2'!C122</f>
        <v>10+10</v>
      </c>
      <c r="S119" s="84">
        <f>'МРСК 2'!D122</f>
        <v>0.5586000000000001</v>
      </c>
      <c r="T119" s="101">
        <f>'МРСК 2'!E122</f>
        <v>11.45798145033928</v>
      </c>
      <c r="U119" s="85">
        <f>'МРСК 2'!F122</f>
        <v>8.98</v>
      </c>
      <c r="V119" s="86">
        <f>'МРСК 2'!G122</f>
        <v>120</v>
      </c>
      <c r="W119" s="87">
        <f>'МРСК 2'!H122</f>
        <v>2.4779814503392803</v>
      </c>
      <c r="X119" s="87">
        <f>'МРСК 2'!I122</f>
        <v>0</v>
      </c>
      <c r="Y119" s="87">
        <f>'МРСК 2'!J122</f>
        <v>10.5</v>
      </c>
      <c r="Z119" s="103">
        <f>'МРСК 2'!K122</f>
        <v>8.02201854966072</v>
      </c>
      <c r="AA119" s="238">
        <f>MIN(Z119:Z121)</f>
        <v>7.2386138026641</v>
      </c>
      <c r="AB119" s="88"/>
    </row>
    <row r="120" spans="1:28" ht="21" thickBot="1" thickTop="1">
      <c r="A120" s="14"/>
      <c r="B120" s="210" t="s">
        <v>59</v>
      </c>
      <c r="C120" s="8" t="str">
        <f>'МРСК 2'!C123</f>
        <v>10+10</v>
      </c>
      <c r="D120" s="84">
        <v>4944</v>
      </c>
      <c r="E120" s="84">
        <v>3154</v>
      </c>
      <c r="F120" s="105">
        <f t="shared" si="7"/>
        <v>5.864371407064869</v>
      </c>
      <c r="G120" s="33">
        <v>6.407</v>
      </c>
      <c r="H120" s="47"/>
      <c r="I120" s="15">
        <f t="shared" si="8"/>
        <v>-0.5426285929351309</v>
      </c>
      <c r="J120" s="15">
        <v>0</v>
      </c>
      <c r="K120" s="31">
        <v>10.5</v>
      </c>
      <c r="L120" s="46">
        <v>11.04262859293513</v>
      </c>
      <c r="M120" s="236"/>
      <c r="N120" s="34"/>
      <c r="P120" s="14"/>
      <c r="Q120" s="210" t="s">
        <v>59</v>
      </c>
      <c r="R120" s="84" t="str">
        <f>'МРСК 2'!C123</f>
        <v>10+10</v>
      </c>
      <c r="S120" s="8">
        <f>'МРСК 2'!D123</f>
        <v>0</v>
      </c>
      <c r="T120" s="99">
        <f>'МРСК 2'!E123</f>
        <v>5.864371407064869</v>
      </c>
      <c r="U120" s="33">
        <f>'МРСК 2'!F123</f>
        <v>6.407</v>
      </c>
      <c r="V120" s="47">
        <f>'МРСК 2'!G123</f>
        <v>0</v>
      </c>
      <c r="W120" s="15">
        <f>'МРСК 2'!H123</f>
        <v>-0.5426285929351309</v>
      </c>
      <c r="X120" s="15">
        <f>'МРСК 2'!I123</f>
        <v>0</v>
      </c>
      <c r="Y120" s="15">
        <f>'МРСК 2'!J123</f>
        <v>10.5</v>
      </c>
      <c r="Z120" s="46">
        <f>'МРСК 2'!K123</f>
        <v>11.04262859293513</v>
      </c>
      <c r="AA120" s="236"/>
      <c r="AB120" s="34"/>
    </row>
    <row r="121" spans="1:28" ht="21" thickBot="1" thickTop="1">
      <c r="A121" s="74"/>
      <c r="B121" s="210" t="s">
        <v>60</v>
      </c>
      <c r="C121" s="75" t="str">
        <f>'МРСК 2'!C124</f>
        <v>10+10</v>
      </c>
      <c r="D121" s="75">
        <v>5216</v>
      </c>
      <c r="E121" s="75">
        <v>792</v>
      </c>
      <c r="F121" s="105">
        <f t="shared" si="7"/>
        <v>5.275786197335901</v>
      </c>
      <c r="G121" s="77">
        <v>2.5730000000000004</v>
      </c>
      <c r="H121" s="78"/>
      <c r="I121" s="79">
        <f t="shared" si="8"/>
        <v>2.7027861973359</v>
      </c>
      <c r="J121" s="79">
        <v>0</v>
      </c>
      <c r="K121" s="80">
        <v>10.5</v>
      </c>
      <c r="L121" s="76">
        <v>7.7972138026641</v>
      </c>
      <c r="M121" s="237"/>
      <c r="N121" s="81"/>
      <c r="P121" s="74"/>
      <c r="Q121" s="210" t="s">
        <v>60</v>
      </c>
      <c r="R121" s="84" t="str">
        <f>'МРСК 2'!C124</f>
        <v>10+10</v>
      </c>
      <c r="S121" s="75">
        <f>'МРСК 2'!D124</f>
        <v>0.5586000000000001</v>
      </c>
      <c r="T121" s="100">
        <f>'МРСК 2'!E124</f>
        <v>5.834386197335901</v>
      </c>
      <c r="U121" s="77">
        <f>'МРСК 2'!F124</f>
        <v>2.5730000000000004</v>
      </c>
      <c r="V121" s="78">
        <f>'МРСК 2'!G124</f>
        <v>0</v>
      </c>
      <c r="W121" s="79">
        <f>'МРСК 2'!H124</f>
        <v>3.2613861973359004</v>
      </c>
      <c r="X121" s="79">
        <f>'МРСК 2'!I124</f>
        <v>0</v>
      </c>
      <c r="Y121" s="79">
        <f>'МРСК 2'!J124</f>
        <v>10.5</v>
      </c>
      <c r="Z121" s="76">
        <f>'МРСК 2'!K124</f>
        <v>7.2386138026641</v>
      </c>
      <c r="AA121" s="237"/>
      <c r="AB121" s="81"/>
    </row>
    <row r="122" spans="1:28" ht="20.25" thickTop="1">
      <c r="A122" s="82">
        <v>64</v>
      </c>
      <c r="B122" s="210" t="s">
        <v>125</v>
      </c>
      <c r="C122" s="84" t="str">
        <f>'МРСК 2'!C125</f>
        <v>25+25</v>
      </c>
      <c r="D122" s="84">
        <f>D123+D124</f>
        <v>16284</v>
      </c>
      <c r="E122" s="84">
        <f>E123+E124</f>
        <v>8685</v>
      </c>
      <c r="F122" s="105">
        <f t="shared" si="7"/>
        <v>18.45529411849077</v>
      </c>
      <c r="G122" s="85">
        <v>10.46</v>
      </c>
      <c r="H122" s="86">
        <v>45</v>
      </c>
      <c r="I122" s="87">
        <f t="shared" si="8"/>
        <v>7.995294118490769</v>
      </c>
      <c r="J122" s="87">
        <v>0</v>
      </c>
      <c r="K122" s="87">
        <v>26.25</v>
      </c>
      <c r="L122" s="103">
        <v>18.25470588150923</v>
      </c>
      <c r="M122" s="238">
        <f>MIN(L122:L124)</f>
        <v>18.25470588150923</v>
      </c>
      <c r="N122" s="88"/>
      <c r="P122" s="82">
        <v>64</v>
      </c>
      <c r="Q122" s="210" t="s">
        <v>125</v>
      </c>
      <c r="R122" s="84" t="str">
        <f>'МРСК 2'!C125</f>
        <v>25+25</v>
      </c>
      <c r="S122" s="84">
        <f>'МРСК 2'!D125</f>
        <v>0.01</v>
      </c>
      <c r="T122" s="101">
        <f>'МРСК 2'!E125</f>
        <v>18.46529411849077</v>
      </c>
      <c r="U122" s="85">
        <f>'МРСК 2'!F125</f>
        <v>10.46</v>
      </c>
      <c r="V122" s="86">
        <f>'МРСК 2'!G125</f>
        <v>45</v>
      </c>
      <c r="W122" s="87">
        <f>'МРСК 2'!H125</f>
        <v>8.00529411849077</v>
      </c>
      <c r="X122" s="87">
        <f>'МРСК 2'!I125</f>
        <v>0</v>
      </c>
      <c r="Y122" s="87">
        <f>'МРСК 2'!J125</f>
        <v>26.25</v>
      </c>
      <c r="Z122" s="103">
        <f>'МРСК 2'!K125</f>
        <v>18.24470588150923</v>
      </c>
      <c r="AA122" s="238">
        <f>MIN(Z122:Z124)</f>
        <v>18.24470588150923</v>
      </c>
      <c r="AB122" s="88"/>
    </row>
    <row r="123" spans="1:28" ht="19.5">
      <c r="A123" s="14"/>
      <c r="B123" s="210" t="s">
        <v>59</v>
      </c>
      <c r="C123" s="8" t="str">
        <f>'МРСК 2'!C126</f>
        <v>25+25</v>
      </c>
      <c r="D123" s="8">
        <v>10147</v>
      </c>
      <c r="E123" s="8">
        <v>5511</v>
      </c>
      <c r="F123" s="105">
        <f t="shared" si="7"/>
        <v>11.546979258663281</v>
      </c>
      <c r="G123" s="33">
        <v>10.46</v>
      </c>
      <c r="H123" s="47"/>
      <c r="I123" s="15">
        <f t="shared" si="8"/>
        <v>1.0869792586632805</v>
      </c>
      <c r="J123" s="15">
        <v>0</v>
      </c>
      <c r="K123" s="31">
        <v>26.25</v>
      </c>
      <c r="L123" s="46">
        <v>25.16302074133672</v>
      </c>
      <c r="M123" s="236"/>
      <c r="N123" s="34"/>
      <c r="P123" s="14"/>
      <c r="Q123" s="210" t="s">
        <v>59</v>
      </c>
      <c r="R123" s="8" t="str">
        <f>'МРСК 2'!C126</f>
        <v>25+25</v>
      </c>
      <c r="S123" s="8">
        <f>'МРСК 2'!D126</f>
        <v>0</v>
      </c>
      <c r="T123" s="99">
        <f>'МРСК 2'!E126</f>
        <v>11.546979258663281</v>
      </c>
      <c r="U123" s="33">
        <f>'МРСК 2'!F126</f>
        <v>10.46</v>
      </c>
      <c r="V123" s="47">
        <f>'МРСК 2'!G126</f>
        <v>0</v>
      </c>
      <c r="W123" s="15">
        <f>'МРСК 2'!H126</f>
        <v>1.0869792586632805</v>
      </c>
      <c r="X123" s="15">
        <f>'МРСК 2'!I126</f>
        <v>0</v>
      </c>
      <c r="Y123" s="15">
        <f>'МРСК 2'!J126</f>
        <v>26.25</v>
      </c>
      <c r="Z123" s="46">
        <f>'МРСК 2'!K126</f>
        <v>25.16302074133672</v>
      </c>
      <c r="AA123" s="236"/>
      <c r="AB123" s="34"/>
    </row>
    <row r="124" spans="1:28" ht="20.25" thickBot="1">
      <c r="A124" s="74"/>
      <c r="B124" s="210" t="s">
        <v>60</v>
      </c>
      <c r="C124" s="75" t="str">
        <f>'МРСК 2'!C127</f>
        <v>25+25</v>
      </c>
      <c r="D124" s="75">
        <v>6137</v>
      </c>
      <c r="E124" s="75">
        <v>3174</v>
      </c>
      <c r="F124" s="105">
        <f t="shared" si="7"/>
        <v>6.90920002605222</v>
      </c>
      <c r="G124" s="77">
        <v>0</v>
      </c>
      <c r="H124" s="78"/>
      <c r="I124" s="79">
        <f t="shared" si="8"/>
        <v>6.90920002605222</v>
      </c>
      <c r="J124" s="79">
        <v>0</v>
      </c>
      <c r="K124" s="80">
        <v>26.25</v>
      </c>
      <c r="L124" s="76">
        <v>19.34079997394778</v>
      </c>
      <c r="M124" s="237"/>
      <c r="N124" s="81"/>
      <c r="P124" s="74"/>
      <c r="Q124" s="210" t="s">
        <v>60</v>
      </c>
      <c r="R124" s="75" t="str">
        <f>'МРСК 2'!C127</f>
        <v>25+25</v>
      </c>
      <c r="S124" s="75">
        <f>'МРСК 2'!D127</f>
        <v>0.01</v>
      </c>
      <c r="T124" s="100">
        <f>'МРСК 2'!E127</f>
        <v>6.91920002605222</v>
      </c>
      <c r="U124" s="77">
        <f>'МРСК 2'!F127</f>
        <v>0</v>
      </c>
      <c r="V124" s="78">
        <f>'МРСК 2'!G127</f>
        <v>0</v>
      </c>
      <c r="W124" s="79">
        <f>'МРСК 2'!H127</f>
        <v>6.91920002605222</v>
      </c>
      <c r="X124" s="79">
        <f>'МРСК 2'!I127</f>
        <v>0</v>
      </c>
      <c r="Y124" s="79">
        <f>'МРСК 2'!J127</f>
        <v>26.25</v>
      </c>
      <c r="Z124" s="76">
        <f>'МРСК 2'!K127</f>
        <v>19.33079997394778</v>
      </c>
      <c r="AA124" s="237"/>
      <c r="AB124" s="81"/>
    </row>
    <row r="125" spans="1:28" ht="21" thickBot="1" thickTop="1">
      <c r="A125" s="14">
        <v>65</v>
      </c>
      <c r="B125" s="210" t="s">
        <v>126</v>
      </c>
      <c r="C125" s="47" t="str">
        <f>'МРСК 2'!C128</f>
        <v>40+40</v>
      </c>
      <c r="D125" s="47">
        <v>12059</v>
      </c>
      <c r="E125" s="47">
        <v>3183</v>
      </c>
      <c r="F125" s="105">
        <f t="shared" si="7"/>
        <v>12.472007456700785</v>
      </c>
      <c r="G125" s="46">
        <v>3.312</v>
      </c>
      <c r="H125" s="16">
        <v>45</v>
      </c>
      <c r="I125" s="46">
        <f t="shared" si="8"/>
        <v>9.160007456700786</v>
      </c>
      <c r="J125" s="15">
        <v>0</v>
      </c>
      <c r="K125" s="45">
        <v>42</v>
      </c>
      <c r="L125" s="105">
        <v>32.83999254329922</v>
      </c>
      <c r="M125" s="46">
        <f>MIN(L125:L125)</f>
        <v>32.83999254329922</v>
      </c>
      <c r="N125" s="34"/>
      <c r="P125" s="14">
        <v>65</v>
      </c>
      <c r="Q125" s="210" t="s">
        <v>126</v>
      </c>
      <c r="R125" s="47" t="str">
        <f>'МРСК 2'!C128</f>
        <v>40+40</v>
      </c>
      <c r="S125" s="47">
        <f>'МРСК 2'!D128</f>
        <v>2.9216</v>
      </c>
      <c r="T125" s="15">
        <f>'МРСК 2'!E128</f>
        <v>15.393607456700785</v>
      </c>
      <c r="U125" s="46">
        <f>'МРСК 2'!F128</f>
        <v>3.312</v>
      </c>
      <c r="V125" s="16">
        <f>'МРСК 2'!G128</f>
        <v>45</v>
      </c>
      <c r="W125" s="46">
        <f>'МРСК 2'!H128</f>
        <v>12.081607456700786</v>
      </c>
      <c r="X125" s="15">
        <f>'МРСК 2'!I128</f>
        <v>0</v>
      </c>
      <c r="Y125" s="48">
        <f>'МРСК 2'!J128</f>
        <v>42</v>
      </c>
      <c r="Z125" s="46">
        <f>'МРСК 2'!K128</f>
        <v>29.918392543299213</v>
      </c>
      <c r="AA125" s="46" t="e">
        <f>'МРСК 2'!L128:L130</f>
        <v>#VALUE!</v>
      </c>
      <c r="AB125" s="34"/>
    </row>
    <row r="126" spans="1:28" ht="20.25" thickTop="1">
      <c r="A126" s="82">
        <v>66</v>
      </c>
      <c r="B126" s="210" t="s">
        <v>127</v>
      </c>
      <c r="C126" s="84" t="str">
        <f>'МРСК 2'!C129</f>
        <v>16+16</v>
      </c>
      <c r="D126" s="84">
        <f>D127+D128</f>
        <v>11370</v>
      </c>
      <c r="E126" s="84">
        <f>E127+E128</f>
        <v>3385</v>
      </c>
      <c r="F126" s="105">
        <f t="shared" si="7"/>
        <v>11.863183594634284</v>
      </c>
      <c r="G126" s="85">
        <v>10.36</v>
      </c>
      <c r="H126" s="86">
        <v>120</v>
      </c>
      <c r="I126" s="87">
        <f t="shared" si="8"/>
        <v>1.5031835946342849</v>
      </c>
      <c r="J126" s="87">
        <v>0</v>
      </c>
      <c r="K126" s="87">
        <v>16.8</v>
      </c>
      <c r="L126" s="103">
        <v>15.296816405365716</v>
      </c>
      <c r="M126" s="238">
        <f>MIN(L126:L128)</f>
        <v>15.296816405365716</v>
      </c>
      <c r="N126" s="88"/>
      <c r="P126" s="82">
        <v>66</v>
      </c>
      <c r="Q126" s="210" t="s">
        <v>127</v>
      </c>
      <c r="R126" s="84" t="str">
        <f>'МРСК 2'!C129</f>
        <v>16+16</v>
      </c>
      <c r="S126" s="84">
        <f>'МРСК 2'!D129</f>
        <v>0.045</v>
      </c>
      <c r="T126" s="101">
        <f>'МРСК 2'!E129</f>
        <v>11.908183594634284</v>
      </c>
      <c r="U126" s="85">
        <f>'МРСК 2'!F129</f>
        <v>10.36</v>
      </c>
      <c r="V126" s="86">
        <f>'МРСК 2'!G129</f>
        <v>120</v>
      </c>
      <c r="W126" s="87">
        <f>'МРСК 2'!H129</f>
        <v>1.5481835946342848</v>
      </c>
      <c r="X126" s="87">
        <f>'МРСК 2'!I129</f>
        <v>0</v>
      </c>
      <c r="Y126" s="87">
        <f>'МРСК 2'!J129</f>
        <v>16.8</v>
      </c>
      <c r="Z126" s="103">
        <f>'МРСК 2'!K129</f>
        <v>15.251816405365716</v>
      </c>
      <c r="AA126" s="238">
        <f>MIN(Z126:Z128)</f>
        <v>15.251816405365716</v>
      </c>
      <c r="AB126" s="88"/>
    </row>
    <row r="127" spans="1:28" ht="19.5">
      <c r="A127" s="14"/>
      <c r="B127" s="210" t="s">
        <v>59</v>
      </c>
      <c r="C127" s="8" t="str">
        <f>'МРСК 2'!C130</f>
        <v>16+16</v>
      </c>
      <c r="D127" s="8">
        <v>7443</v>
      </c>
      <c r="E127" s="8">
        <v>2214</v>
      </c>
      <c r="F127" s="105">
        <f t="shared" si="7"/>
        <v>7.7653103608291145</v>
      </c>
      <c r="G127" s="33">
        <v>7.562</v>
      </c>
      <c r="H127" s="47"/>
      <c r="I127" s="15">
        <f t="shared" si="8"/>
        <v>0.20331036082911425</v>
      </c>
      <c r="J127" s="15">
        <v>0</v>
      </c>
      <c r="K127" s="31">
        <v>16.8</v>
      </c>
      <c r="L127" s="46">
        <v>16.596689639170886</v>
      </c>
      <c r="M127" s="236"/>
      <c r="N127" s="34"/>
      <c r="P127" s="14"/>
      <c r="Q127" s="210" t="s">
        <v>59</v>
      </c>
      <c r="R127" s="8" t="str">
        <f>'МРСК 2'!C130</f>
        <v>16+16</v>
      </c>
      <c r="S127" s="8">
        <f>'МРСК 2'!D130</f>
        <v>0</v>
      </c>
      <c r="T127" s="99">
        <f>'МРСК 2'!E130</f>
        <v>7.7653103608291145</v>
      </c>
      <c r="U127" s="33">
        <f>'МРСК 2'!F130</f>
        <v>7.562</v>
      </c>
      <c r="V127" s="47">
        <f>'МРСК 2'!G130</f>
        <v>0</v>
      </c>
      <c r="W127" s="15">
        <f>'МРСК 2'!H130</f>
        <v>0.20331036082911425</v>
      </c>
      <c r="X127" s="15">
        <f>'МРСК 2'!I130</f>
        <v>0</v>
      </c>
      <c r="Y127" s="15">
        <f>'МРСК 2'!J130</f>
        <v>16.8</v>
      </c>
      <c r="Z127" s="46">
        <f>'МРСК 2'!K130</f>
        <v>16.596689639170886</v>
      </c>
      <c r="AA127" s="236"/>
      <c r="AB127" s="34"/>
    </row>
    <row r="128" spans="1:28" ht="20.25" thickBot="1">
      <c r="A128" s="74"/>
      <c r="B128" s="210" t="s">
        <v>60</v>
      </c>
      <c r="C128" s="75" t="str">
        <f>'МРСК 2'!C131</f>
        <v>16+16</v>
      </c>
      <c r="D128" s="75">
        <v>3927</v>
      </c>
      <c r="E128" s="75">
        <v>1171</v>
      </c>
      <c r="F128" s="105">
        <f t="shared" si="7"/>
        <v>4.097873838956002</v>
      </c>
      <c r="G128" s="77">
        <v>2.797999999999999</v>
      </c>
      <c r="H128" s="78"/>
      <c r="I128" s="79">
        <f t="shared" si="8"/>
        <v>1.2998738389560032</v>
      </c>
      <c r="J128" s="79">
        <v>0</v>
      </c>
      <c r="K128" s="80">
        <v>16.8</v>
      </c>
      <c r="L128" s="76">
        <v>15.500126161043998</v>
      </c>
      <c r="M128" s="237"/>
      <c r="N128" s="81"/>
      <c r="P128" s="74"/>
      <c r="Q128" s="210" t="s">
        <v>60</v>
      </c>
      <c r="R128" s="75" t="str">
        <f>'МРСК 2'!C131</f>
        <v>16+16</v>
      </c>
      <c r="S128" s="75">
        <f>'МРСК 2'!D131</f>
        <v>0.045</v>
      </c>
      <c r="T128" s="100">
        <f>'МРСК 2'!E131</f>
        <v>4.142873838956002</v>
      </c>
      <c r="U128" s="77">
        <f>'МРСК 2'!F131</f>
        <v>2.797999999999999</v>
      </c>
      <c r="V128" s="78">
        <f>'МРСК 2'!G131</f>
        <v>0</v>
      </c>
      <c r="W128" s="79">
        <f>'МРСК 2'!H131</f>
        <v>1.344873838956003</v>
      </c>
      <c r="X128" s="79">
        <f>'МРСК 2'!I131</f>
        <v>0</v>
      </c>
      <c r="Y128" s="79">
        <f>'МРСК 2'!J131</f>
        <v>16.8</v>
      </c>
      <c r="Z128" s="76">
        <f>'МРСК 2'!K131</f>
        <v>15.455126161043998</v>
      </c>
      <c r="AA128" s="237"/>
      <c r="AB128" s="81"/>
    </row>
    <row r="129" spans="1:28" ht="20.25" thickTop="1">
      <c r="A129" s="82">
        <v>67</v>
      </c>
      <c r="B129" s="210" t="s">
        <v>128</v>
      </c>
      <c r="C129" s="84" t="str">
        <f>'МРСК 2'!C132</f>
        <v>20+25+25</v>
      </c>
      <c r="D129" s="84">
        <f>D130+D131</f>
        <v>27161</v>
      </c>
      <c r="E129" s="84">
        <f>E130+E131</f>
        <v>10201</v>
      </c>
      <c r="F129" s="105">
        <f t="shared" si="7"/>
        <v>29.013450708249096</v>
      </c>
      <c r="G129" s="85">
        <v>0</v>
      </c>
      <c r="H129" s="86"/>
      <c r="I129" s="87">
        <f t="shared" si="8"/>
        <v>29.013450708249096</v>
      </c>
      <c r="J129" s="87">
        <v>0</v>
      </c>
      <c r="K129" s="87">
        <v>47.25</v>
      </c>
      <c r="L129" s="103">
        <v>18.236549291750904</v>
      </c>
      <c r="M129" s="238">
        <f>MIN(L129:L131)</f>
        <v>18.236549291750904</v>
      </c>
      <c r="N129" s="88"/>
      <c r="P129" s="82">
        <v>67</v>
      </c>
      <c r="Q129" s="210" t="s">
        <v>128</v>
      </c>
      <c r="R129" s="84" t="str">
        <f>'МРСК 2'!C132</f>
        <v>20+25+25</v>
      </c>
      <c r="S129" s="84">
        <f>'МРСК 2'!D132</f>
        <v>0.272</v>
      </c>
      <c r="T129" s="101">
        <f>'МРСК 2'!E132</f>
        <v>29.285450708249094</v>
      </c>
      <c r="U129" s="85">
        <f>'МРСК 2'!F132</f>
        <v>0</v>
      </c>
      <c r="V129" s="86">
        <f>'МРСК 2'!G132</f>
        <v>0</v>
      </c>
      <c r="W129" s="87">
        <f>'МРСК 2'!H132</f>
        <v>29.285450708249094</v>
      </c>
      <c r="X129" s="87">
        <f>'МРСК 2'!I132</f>
        <v>0</v>
      </c>
      <c r="Y129" s="87">
        <f>'МРСК 2'!J132</f>
        <v>47.25</v>
      </c>
      <c r="Z129" s="103">
        <f>'МРСК 2'!K132</f>
        <v>17.964549291750906</v>
      </c>
      <c r="AA129" s="238">
        <f>MIN(Z129:Z131)</f>
        <v>17.964549291750906</v>
      </c>
      <c r="AB129" s="88"/>
    </row>
    <row r="130" spans="1:28" ht="19.5">
      <c r="A130" s="14"/>
      <c r="B130" s="210" t="s">
        <v>59</v>
      </c>
      <c r="C130" s="8" t="str">
        <f>'МРСК 2'!C133</f>
        <v>20+25+25</v>
      </c>
      <c r="D130" s="8">
        <v>5305</v>
      </c>
      <c r="E130" s="8">
        <v>2289</v>
      </c>
      <c r="F130" s="105">
        <f t="shared" si="7"/>
        <v>5.777763061947072</v>
      </c>
      <c r="G130" s="33">
        <v>0</v>
      </c>
      <c r="H130" s="47"/>
      <c r="I130" s="15">
        <f t="shared" si="8"/>
        <v>5.777763061947072</v>
      </c>
      <c r="J130" s="15">
        <v>0</v>
      </c>
      <c r="K130" s="31">
        <v>47.25</v>
      </c>
      <c r="L130" s="46">
        <v>41.47223693805293</v>
      </c>
      <c r="M130" s="236"/>
      <c r="N130" s="34"/>
      <c r="P130" s="14"/>
      <c r="Q130" s="210" t="s">
        <v>59</v>
      </c>
      <c r="R130" s="8" t="str">
        <f>'МРСК 2'!C133</f>
        <v>20+25+25</v>
      </c>
      <c r="S130" s="8">
        <f>'МРСК 2'!D133</f>
        <v>0</v>
      </c>
      <c r="T130" s="99">
        <f>'МРСК 2'!E133</f>
        <v>5.777763061947072</v>
      </c>
      <c r="U130" s="33">
        <f>'МРСК 2'!F133</f>
        <v>0</v>
      </c>
      <c r="V130" s="47">
        <f>'МРСК 2'!G133</f>
        <v>0</v>
      </c>
      <c r="W130" s="15">
        <f>'МРСК 2'!H133</f>
        <v>5.777763061947072</v>
      </c>
      <c r="X130" s="15">
        <f>'МРСК 2'!I133</f>
        <v>0</v>
      </c>
      <c r="Y130" s="15">
        <f>'МРСК 2'!J133</f>
        <v>47.25</v>
      </c>
      <c r="Z130" s="46">
        <f>'МРСК 2'!K133</f>
        <v>41.47223693805293</v>
      </c>
      <c r="AA130" s="236"/>
      <c r="AB130" s="34"/>
    </row>
    <row r="131" spans="1:28" ht="20.25" thickBot="1">
      <c r="A131" s="74"/>
      <c r="B131" s="210" t="s">
        <v>60</v>
      </c>
      <c r="C131" s="75" t="str">
        <f>'МРСК 2'!C134</f>
        <v>20+25+25</v>
      </c>
      <c r="D131" s="75">
        <v>21856</v>
      </c>
      <c r="E131" s="75">
        <v>7912</v>
      </c>
      <c r="F131" s="105">
        <f t="shared" si="7"/>
        <v>23.244020306306737</v>
      </c>
      <c r="G131" s="77">
        <v>0</v>
      </c>
      <c r="H131" s="78"/>
      <c r="I131" s="79">
        <f t="shared" si="8"/>
        <v>23.244020306306737</v>
      </c>
      <c r="J131" s="79">
        <v>0</v>
      </c>
      <c r="K131" s="80">
        <v>47.25</v>
      </c>
      <c r="L131" s="76">
        <v>24.005979693693263</v>
      </c>
      <c r="M131" s="237"/>
      <c r="N131" s="81"/>
      <c r="P131" s="74"/>
      <c r="Q131" s="210" t="s">
        <v>60</v>
      </c>
      <c r="R131" s="75" t="str">
        <f>'МРСК 2'!C134</f>
        <v>20+25+25</v>
      </c>
      <c r="S131" s="75">
        <f>'МРСК 2'!D134</f>
        <v>0.272</v>
      </c>
      <c r="T131" s="100">
        <f>'МРСК 2'!E134</f>
        <v>23.516020306306736</v>
      </c>
      <c r="U131" s="77">
        <f>'МРСК 2'!F134</f>
        <v>0</v>
      </c>
      <c r="V131" s="78">
        <f>'МРСК 2'!G134</f>
        <v>0</v>
      </c>
      <c r="W131" s="79">
        <f>'МРСК 2'!H134</f>
        <v>23.516020306306736</v>
      </c>
      <c r="X131" s="79">
        <f>'МРСК 2'!I134</f>
        <v>0</v>
      </c>
      <c r="Y131" s="79">
        <f>'МРСК 2'!J134</f>
        <v>47.25</v>
      </c>
      <c r="Z131" s="76">
        <f>'МРСК 2'!K134</f>
        <v>23.733979693693264</v>
      </c>
      <c r="AA131" s="237"/>
      <c r="AB131" s="81"/>
    </row>
    <row r="132" spans="1:28" ht="20.25" thickTop="1">
      <c r="A132" s="82">
        <v>68</v>
      </c>
      <c r="B132" s="210" t="s">
        <v>129</v>
      </c>
      <c r="C132" s="84" t="str">
        <f>'МРСК 2'!C135</f>
        <v>16+16</v>
      </c>
      <c r="D132" s="84">
        <f>D133+D134</f>
        <v>6052</v>
      </c>
      <c r="E132" s="84">
        <f>E133+E134</f>
        <v>1769</v>
      </c>
      <c r="F132" s="105">
        <f t="shared" si="7"/>
        <v>6.305241073900347</v>
      </c>
      <c r="G132" s="85">
        <v>2.23</v>
      </c>
      <c r="H132" s="86">
        <v>80</v>
      </c>
      <c r="I132" s="87">
        <f t="shared" si="8"/>
        <v>4.075241073900347</v>
      </c>
      <c r="J132" s="87">
        <v>0</v>
      </c>
      <c r="K132" s="87">
        <v>16.8</v>
      </c>
      <c r="L132" s="103">
        <v>12.724758926099653</v>
      </c>
      <c r="M132" s="238">
        <f>MIN(L132:L134)</f>
        <v>4.357496432842785</v>
      </c>
      <c r="N132" s="88"/>
      <c r="P132" s="82">
        <v>68</v>
      </c>
      <c r="Q132" s="210" t="s">
        <v>129</v>
      </c>
      <c r="R132" s="84" t="str">
        <f>'МРСК 2'!C135</f>
        <v>16+16</v>
      </c>
      <c r="S132" s="84">
        <f>'МРСК 2'!D135</f>
        <v>0.36285</v>
      </c>
      <c r="T132" s="101">
        <f>'МРСК 2'!E135</f>
        <v>6.668091073900347</v>
      </c>
      <c r="U132" s="85">
        <f>'МРСК 2'!F135</f>
        <v>2.23</v>
      </c>
      <c r="V132" s="86">
        <f>'МРСК 2'!G135</f>
        <v>80</v>
      </c>
      <c r="W132" s="87">
        <f>'МРСК 2'!H135</f>
        <v>4.438091073900347</v>
      </c>
      <c r="X132" s="87">
        <f>'МРСК 2'!I135</f>
        <v>0</v>
      </c>
      <c r="Y132" s="87">
        <f>'МРСК 2'!J135</f>
        <v>16.8</v>
      </c>
      <c r="Z132" s="103">
        <f>'МРСК 2'!K135</f>
        <v>12.361908926099654</v>
      </c>
      <c r="AA132" s="238">
        <f>MIN(Z132:Z134)</f>
        <v>3.994646432842785</v>
      </c>
      <c r="AB132" s="88"/>
    </row>
    <row r="133" spans="1:28" ht="19.5">
      <c r="A133" s="14"/>
      <c r="B133" s="210" t="s">
        <v>59</v>
      </c>
      <c r="C133" s="8" t="str">
        <f>'МРСК 2'!C136</f>
        <v>16+8</v>
      </c>
      <c r="D133" s="8">
        <v>7</v>
      </c>
      <c r="E133" s="8">
        <v>95</v>
      </c>
      <c r="F133" s="105">
        <f t="shared" si="7"/>
        <v>0.09525754563287887</v>
      </c>
      <c r="G133" s="33">
        <v>0</v>
      </c>
      <c r="H133" s="47"/>
      <c r="I133" s="15">
        <f t="shared" si="8"/>
        <v>0.09525754563287887</v>
      </c>
      <c r="J133" s="15">
        <v>0</v>
      </c>
      <c r="K133" s="31">
        <v>8.4</v>
      </c>
      <c r="L133" s="46">
        <v>8.30474245436712</v>
      </c>
      <c r="M133" s="236"/>
      <c r="N133" s="34"/>
      <c r="P133" s="14"/>
      <c r="Q133" s="210" t="s">
        <v>59</v>
      </c>
      <c r="R133" s="8" t="str">
        <f>'МРСК 2'!C136</f>
        <v>16+8</v>
      </c>
      <c r="S133" s="8">
        <f>'МРСК 2'!D136</f>
        <v>0</v>
      </c>
      <c r="T133" s="99">
        <f>'МРСК 2'!E136</f>
        <v>0.09525754563287887</v>
      </c>
      <c r="U133" s="33">
        <f>'МРСК 2'!F136</f>
        <v>0</v>
      </c>
      <c r="V133" s="47">
        <f>'МРСК 2'!G136</f>
        <v>0</v>
      </c>
      <c r="W133" s="15">
        <f>'МРСК 2'!H136</f>
        <v>0.09525754563287887</v>
      </c>
      <c r="X133" s="15">
        <f>'МРСК 2'!I136</f>
        <v>0</v>
      </c>
      <c r="Y133" s="15">
        <f>'МРСК 2'!J136</f>
        <v>8.4</v>
      </c>
      <c r="Z133" s="46">
        <f>'МРСК 2'!K136</f>
        <v>8.30474245436712</v>
      </c>
      <c r="AA133" s="236"/>
      <c r="AB133" s="34"/>
    </row>
    <row r="134" spans="1:28" ht="20.25" thickBot="1">
      <c r="A134" s="74"/>
      <c r="B134" s="210" t="s">
        <v>60</v>
      </c>
      <c r="C134" s="75" t="str">
        <f>'МРСК 2'!C137</f>
        <v>16+8</v>
      </c>
      <c r="D134" s="75">
        <v>6045</v>
      </c>
      <c r="E134" s="75">
        <v>1674</v>
      </c>
      <c r="F134" s="105">
        <f t="shared" si="7"/>
        <v>6.272503567157216</v>
      </c>
      <c r="G134" s="77">
        <v>2.23</v>
      </c>
      <c r="H134" s="78"/>
      <c r="I134" s="79">
        <f t="shared" si="8"/>
        <v>4.042503567157215</v>
      </c>
      <c r="J134" s="79">
        <v>0</v>
      </c>
      <c r="K134" s="80">
        <v>8.4</v>
      </c>
      <c r="L134" s="76">
        <v>4.357496432842785</v>
      </c>
      <c r="M134" s="237"/>
      <c r="N134" s="81"/>
      <c r="P134" s="74"/>
      <c r="Q134" s="210" t="s">
        <v>60</v>
      </c>
      <c r="R134" s="75" t="str">
        <f>'МРСК 2'!C137</f>
        <v>16+8</v>
      </c>
      <c r="S134" s="75">
        <f>'МРСК 2'!D137</f>
        <v>0.36285</v>
      </c>
      <c r="T134" s="100">
        <f>'МРСК 2'!E137</f>
        <v>6.635353567157216</v>
      </c>
      <c r="U134" s="77">
        <f>'МРСК 2'!F137</f>
        <v>2.23</v>
      </c>
      <c r="V134" s="78">
        <f>'МРСК 2'!G137</f>
        <v>0</v>
      </c>
      <c r="W134" s="79">
        <f>'МРСК 2'!H137</f>
        <v>4.405353567157215</v>
      </c>
      <c r="X134" s="79">
        <f>'МРСК 2'!I137</f>
        <v>0</v>
      </c>
      <c r="Y134" s="79">
        <f>'МРСК 2'!J137</f>
        <v>8.4</v>
      </c>
      <c r="Z134" s="76">
        <f>'МРСК 2'!K137</f>
        <v>3.994646432842785</v>
      </c>
      <c r="AA134" s="237"/>
      <c r="AB134" s="81"/>
    </row>
    <row r="135" spans="1:28" ht="21" thickBot="1" thickTop="1">
      <c r="A135" s="14">
        <v>69</v>
      </c>
      <c r="B135" s="210" t="s">
        <v>130</v>
      </c>
      <c r="C135" s="47" t="str">
        <f>'МРСК 2'!C138</f>
        <v>15+15</v>
      </c>
      <c r="D135" s="47">
        <v>14665</v>
      </c>
      <c r="E135" s="47">
        <v>5743</v>
      </c>
      <c r="F135" s="105">
        <f t="shared" si="7"/>
        <v>15.74942138619702</v>
      </c>
      <c r="G135" s="46">
        <v>0</v>
      </c>
      <c r="H135" s="16"/>
      <c r="I135" s="46">
        <f t="shared" si="8"/>
        <v>15.74942138619702</v>
      </c>
      <c r="J135" s="15">
        <v>0</v>
      </c>
      <c r="K135" s="45">
        <v>15.75</v>
      </c>
      <c r="L135" s="105">
        <v>0.0005786138029808541</v>
      </c>
      <c r="M135" s="46">
        <f>L135</f>
        <v>0.0005786138029808541</v>
      </c>
      <c r="N135" s="34"/>
      <c r="P135" s="166">
        <v>69</v>
      </c>
      <c r="Q135" s="209" t="s">
        <v>130</v>
      </c>
      <c r="R135" s="145" t="str">
        <f>'МРСК 2'!C138</f>
        <v>15+15</v>
      </c>
      <c r="S135" s="145">
        <f>'МРСК 2'!D138</f>
        <v>0.587</v>
      </c>
      <c r="T135" s="146">
        <f>'МРСК 2'!E138</f>
        <v>16.33642138619702</v>
      </c>
      <c r="U135" s="148">
        <f>'МРСК 2'!F138</f>
        <v>0</v>
      </c>
      <c r="V135" s="147">
        <f>'МРСК 2'!G138</f>
        <v>0</v>
      </c>
      <c r="W135" s="148">
        <f>'МРСК 2'!H138</f>
        <v>16.33642138619702</v>
      </c>
      <c r="X135" s="146">
        <f>'МРСК 2'!I138</f>
        <v>0</v>
      </c>
      <c r="Y135" s="170">
        <f>'МРСК 2'!J138</f>
        <v>15.75</v>
      </c>
      <c r="Z135" s="148">
        <f>'МРСК 2'!K138</f>
        <v>-0.5864213861970207</v>
      </c>
      <c r="AA135" s="148" t="e">
        <f>'МРСК 2'!L138:L140</f>
        <v>#VALUE!</v>
      </c>
      <c r="AB135" s="34"/>
    </row>
    <row r="136" spans="1:28" ht="20.25" thickTop="1">
      <c r="A136" s="82">
        <v>70</v>
      </c>
      <c r="B136" s="210" t="s">
        <v>131</v>
      </c>
      <c r="C136" s="84" t="str">
        <f>'МРСК 2'!C139</f>
        <v>16+16</v>
      </c>
      <c r="D136" s="84">
        <f>D137+D138</f>
        <v>12522</v>
      </c>
      <c r="E136" s="84">
        <f>E137+E138</f>
        <v>4336</v>
      </c>
      <c r="F136" s="105">
        <f t="shared" si="7"/>
        <v>13.251467088590607</v>
      </c>
      <c r="G136" s="85">
        <v>3.46</v>
      </c>
      <c r="H136" s="86">
        <v>45</v>
      </c>
      <c r="I136" s="87">
        <f t="shared" si="8"/>
        <v>9.791467088590608</v>
      </c>
      <c r="J136" s="87">
        <v>0</v>
      </c>
      <c r="K136" s="87">
        <v>16.8</v>
      </c>
      <c r="L136" s="103">
        <v>7.008532911409393</v>
      </c>
      <c r="M136" s="238">
        <f>MIN(L136:L138)</f>
        <v>7.008532911409393</v>
      </c>
      <c r="N136" s="88"/>
      <c r="P136" s="82">
        <v>70</v>
      </c>
      <c r="Q136" s="210" t="s">
        <v>131</v>
      </c>
      <c r="R136" s="84" t="str">
        <f>'МРСК 2'!C139</f>
        <v>16+16</v>
      </c>
      <c r="S136" s="84">
        <f>'МРСК 2'!D139</f>
        <v>0.09</v>
      </c>
      <c r="T136" s="101">
        <f>'МРСК 2'!E139</f>
        <v>13.341467088590607</v>
      </c>
      <c r="U136" s="85">
        <f>'МРСК 2'!F139</f>
        <v>3.46</v>
      </c>
      <c r="V136" s="86">
        <f>'МРСК 2'!G139</f>
        <v>45</v>
      </c>
      <c r="W136" s="87">
        <f>'МРСК 2'!H139</f>
        <v>9.881467088590608</v>
      </c>
      <c r="X136" s="87">
        <f>'МРСК 2'!I139</f>
        <v>0</v>
      </c>
      <c r="Y136" s="87">
        <f>'МРСК 2'!J139</f>
        <v>16.8</v>
      </c>
      <c r="Z136" s="103">
        <f>'МРСК 2'!K139</f>
        <v>6.918532911409393</v>
      </c>
      <c r="AA136" s="238" t="e">
        <f>'МРСК 2'!L139:L141</f>
        <v>#VALUE!</v>
      </c>
      <c r="AB136" s="88"/>
    </row>
    <row r="137" spans="1:28" ht="19.5">
      <c r="A137" s="14"/>
      <c r="B137" s="210" t="s">
        <v>59</v>
      </c>
      <c r="C137" s="8" t="str">
        <f>'МРСК 2'!C140</f>
        <v>16+16</v>
      </c>
      <c r="D137" s="8">
        <v>4590</v>
      </c>
      <c r="E137" s="8">
        <v>1614</v>
      </c>
      <c r="F137" s="105">
        <f t="shared" si="7"/>
        <v>4.865500590895041</v>
      </c>
      <c r="G137" s="33">
        <v>3.46</v>
      </c>
      <c r="H137" s="47"/>
      <c r="I137" s="15">
        <f t="shared" si="8"/>
        <v>1.4055005908950413</v>
      </c>
      <c r="J137" s="15">
        <v>0</v>
      </c>
      <c r="K137" s="31">
        <v>16.8</v>
      </c>
      <c r="L137" s="46">
        <v>15.39449940910496</v>
      </c>
      <c r="M137" s="236"/>
      <c r="N137" s="34"/>
      <c r="P137" s="14"/>
      <c r="Q137" s="210" t="s">
        <v>59</v>
      </c>
      <c r="R137" s="8" t="str">
        <f>'МРСК 2'!C140</f>
        <v>16+16</v>
      </c>
      <c r="S137" s="8">
        <f>'МРСК 2'!D140</f>
        <v>0</v>
      </c>
      <c r="T137" s="99">
        <f>'МРСК 2'!E140</f>
        <v>4.865500590895041</v>
      </c>
      <c r="U137" s="33">
        <f>'МРСК 2'!F140</f>
        <v>3.46</v>
      </c>
      <c r="V137" s="47">
        <f>'МРСК 2'!G140</f>
        <v>0</v>
      </c>
      <c r="W137" s="15">
        <f>'МРСК 2'!H140</f>
        <v>1.4055005908950413</v>
      </c>
      <c r="X137" s="15">
        <f>'МРСК 2'!I140</f>
        <v>0</v>
      </c>
      <c r="Y137" s="15">
        <f>'МРСК 2'!J140</f>
        <v>16.8</v>
      </c>
      <c r="Z137" s="46">
        <f>'МРСК 2'!K140</f>
        <v>15.39449940910496</v>
      </c>
      <c r="AA137" s="236"/>
      <c r="AB137" s="34"/>
    </row>
    <row r="138" spans="1:28" ht="20.25" thickBot="1">
      <c r="A138" s="74"/>
      <c r="B138" s="210" t="s">
        <v>60</v>
      </c>
      <c r="C138" s="75" t="str">
        <f>'МРСК 2'!C141</f>
        <v>16+16</v>
      </c>
      <c r="D138" s="75">
        <v>7932</v>
      </c>
      <c r="E138" s="75">
        <v>2722</v>
      </c>
      <c r="F138" s="105">
        <f t="shared" si="7"/>
        <v>8.38605437616523</v>
      </c>
      <c r="G138" s="77">
        <v>0</v>
      </c>
      <c r="H138" s="78"/>
      <c r="I138" s="79">
        <f t="shared" si="8"/>
        <v>8.38605437616523</v>
      </c>
      <c r="J138" s="79">
        <v>0</v>
      </c>
      <c r="K138" s="80">
        <v>16.8</v>
      </c>
      <c r="L138" s="76">
        <v>8.41394562383477</v>
      </c>
      <c r="M138" s="237"/>
      <c r="N138" s="81"/>
      <c r="P138" s="74"/>
      <c r="Q138" s="210" t="s">
        <v>60</v>
      </c>
      <c r="R138" s="75" t="str">
        <f>'МРСК 2'!C141</f>
        <v>16+16</v>
      </c>
      <c r="S138" s="75">
        <f>'МРСК 2'!D141</f>
        <v>0.09</v>
      </c>
      <c r="T138" s="100">
        <f>'МРСК 2'!E141</f>
        <v>8.47605437616523</v>
      </c>
      <c r="U138" s="77">
        <f>'МРСК 2'!F141</f>
        <v>0</v>
      </c>
      <c r="V138" s="78">
        <f>'МРСК 2'!G141</f>
        <v>0</v>
      </c>
      <c r="W138" s="79">
        <f>'МРСК 2'!H141</f>
        <v>8.47605437616523</v>
      </c>
      <c r="X138" s="79">
        <f>'МРСК 2'!I141</f>
        <v>0</v>
      </c>
      <c r="Y138" s="79">
        <f>'МРСК 2'!J141</f>
        <v>16.8</v>
      </c>
      <c r="Z138" s="76">
        <f>'МРСК 2'!K141</f>
        <v>8.32394562383477</v>
      </c>
      <c r="AA138" s="237"/>
      <c r="AB138" s="81"/>
    </row>
    <row r="139" spans="1:28" ht="20.25" thickTop="1">
      <c r="A139" s="14">
        <v>71</v>
      </c>
      <c r="B139" s="210" t="s">
        <v>132</v>
      </c>
      <c r="C139" s="47" t="str">
        <f>'МРСК 2'!C142</f>
        <v>32+32</v>
      </c>
      <c r="D139" s="47">
        <v>8580</v>
      </c>
      <c r="E139" s="47">
        <v>3308</v>
      </c>
      <c r="F139" s="105">
        <f t="shared" si="7"/>
        <v>9.195611127054036</v>
      </c>
      <c r="G139" s="46">
        <v>5.56</v>
      </c>
      <c r="H139" s="16">
        <v>45</v>
      </c>
      <c r="I139" s="46">
        <f t="shared" si="8"/>
        <v>3.6356111270540366</v>
      </c>
      <c r="J139" s="15">
        <v>0</v>
      </c>
      <c r="K139" s="45">
        <v>33.6</v>
      </c>
      <c r="L139" s="105">
        <v>29.964388872945964</v>
      </c>
      <c r="M139" s="46">
        <f>MIN(L139:L139)</f>
        <v>29.964388872945964</v>
      </c>
      <c r="N139" s="34"/>
      <c r="P139" s="14">
        <v>71</v>
      </c>
      <c r="Q139" s="210" t="s">
        <v>132</v>
      </c>
      <c r="R139" s="47" t="str">
        <f>'МРСК 2'!C142</f>
        <v>32+32</v>
      </c>
      <c r="S139" s="47">
        <f>'МРСК 2'!D142</f>
        <v>0.055</v>
      </c>
      <c r="T139" s="15">
        <f>'МРСК 2'!E142</f>
        <v>9.250611127054036</v>
      </c>
      <c r="U139" s="46">
        <f>'МРСК 2'!F142</f>
        <v>5.56</v>
      </c>
      <c r="V139" s="16">
        <f>'МРСК 2'!G142</f>
        <v>45</v>
      </c>
      <c r="W139" s="46">
        <f>'МРСК 2'!H142</f>
        <v>3.6906111270540363</v>
      </c>
      <c r="X139" s="15">
        <f>'МРСК 2'!I142</f>
        <v>0</v>
      </c>
      <c r="Y139" s="48">
        <f>'МРСК 2'!J142</f>
        <v>33.6</v>
      </c>
      <c r="Z139" s="46">
        <f>'МРСК 2'!K142</f>
        <v>29.909388872945964</v>
      </c>
      <c r="AA139" s="46" t="e">
        <f>'МРСК 2'!L142:L144</f>
        <v>#VALUE!</v>
      </c>
      <c r="AB139" s="34"/>
    </row>
    <row r="140" spans="1:28" ht="20.25" thickBot="1">
      <c r="A140" s="14">
        <v>72</v>
      </c>
      <c r="B140" s="210" t="s">
        <v>133</v>
      </c>
      <c r="C140" s="47" t="str">
        <f>'МРСК 2'!C143</f>
        <v>40+40</v>
      </c>
      <c r="D140" s="47">
        <v>31170</v>
      </c>
      <c r="E140" s="47">
        <v>5706</v>
      </c>
      <c r="F140" s="105">
        <f t="shared" si="7"/>
        <v>31.68796831606596</v>
      </c>
      <c r="G140" s="46">
        <v>0</v>
      </c>
      <c r="H140" s="16"/>
      <c r="I140" s="46">
        <f t="shared" si="8"/>
        <v>31.68796831606596</v>
      </c>
      <c r="J140" s="15">
        <v>0</v>
      </c>
      <c r="K140" s="45">
        <v>42</v>
      </c>
      <c r="L140" s="105">
        <v>10.312031683934041</v>
      </c>
      <c r="M140" s="46">
        <f>MIN(L140:L140)</f>
        <v>10.312031683934041</v>
      </c>
      <c r="N140" s="34"/>
      <c r="P140" s="14">
        <v>72</v>
      </c>
      <c r="Q140" s="210" t="s">
        <v>133</v>
      </c>
      <c r="R140" s="47" t="str">
        <f>'МРСК 2'!C143</f>
        <v>40+40</v>
      </c>
      <c r="S140" s="47">
        <f>'МРСК 2'!D143</f>
        <v>0.8260000000000001</v>
      </c>
      <c r="T140" s="15">
        <f>'МРСК 2'!E143</f>
        <v>32.513968316065956</v>
      </c>
      <c r="U140" s="46">
        <f>'МРСК 2'!F143</f>
        <v>0</v>
      </c>
      <c r="V140" s="16">
        <f>'МРСК 2'!G143</f>
        <v>0</v>
      </c>
      <c r="W140" s="46">
        <f>'МРСК 2'!H143</f>
        <v>32.513968316065956</v>
      </c>
      <c r="X140" s="15">
        <f>'МРСК 2'!I143</f>
        <v>0</v>
      </c>
      <c r="Y140" s="48">
        <f>'МРСК 2'!J143</f>
        <v>42</v>
      </c>
      <c r="Z140" s="46">
        <f>'МРСК 2'!K143</f>
        <v>9.486031683934044</v>
      </c>
      <c r="AA140" s="46"/>
      <c r="AB140" s="34"/>
    </row>
    <row r="141" spans="1:28" ht="20.25" thickTop="1">
      <c r="A141" s="82">
        <v>73</v>
      </c>
      <c r="B141" s="210" t="s">
        <v>134</v>
      </c>
      <c r="C141" s="84" t="str">
        <f>'МРСК 2'!C144</f>
        <v>25+25</v>
      </c>
      <c r="D141" s="84">
        <f>D142+D143</f>
        <v>23134</v>
      </c>
      <c r="E141" s="84">
        <f>E142+E143</f>
        <v>8712</v>
      </c>
      <c r="F141" s="105">
        <f t="shared" si="7"/>
        <v>24.720050566291324</v>
      </c>
      <c r="G141" s="85">
        <v>20.54</v>
      </c>
      <c r="H141" s="86">
        <v>80</v>
      </c>
      <c r="I141" s="87">
        <f t="shared" si="8"/>
        <v>4.1800505662913245</v>
      </c>
      <c r="J141" s="87">
        <v>0</v>
      </c>
      <c r="K141" s="87">
        <v>26.25</v>
      </c>
      <c r="L141" s="103">
        <v>22.069949433708675</v>
      </c>
      <c r="M141" s="238">
        <f>MIN(L141:L143)</f>
        <v>22.069949433708675</v>
      </c>
      <c r="N141" s="88"/>
      <c r="P141" s="82">
        <v>73</v>
      </c>
      <c r="Q141" s="210" t="s">
        <v>134</v>
      </c>
      <c r="R141" s="84" t="str">
        <f>'МРСК 2'!C144</f>
        <v>25+25</v>
      </c>
      <c r="S141" s="84">
        <f>'МРСК 2'!D144</f>
        <v>0.014</v>
      </c>
      <c r="T141" s="101">
        <f>'МРСК 2'!E144</f>
        <v>24.734050566291323</v>
      </c>
      <c r="U141" s="85">
        <f>'МРСК 2'!F144</f>
        <v>20.54</v>
      </c>
      <c r="V141" s="86">
        <f>'МРСК 2'!G144</f>
        <v>80</v>
      </c>
      <c r="W141" s="87">
        <f>'МРСК 2'!H144</f>
        <v>4.194050566291324</v>
      </c>
      <c r="X141" s="87">
        <f>'МРСК 2'!I144</f>
        <v>0</v>
      </c>
      <c r="Y141" s="87">
        <f>'МРСК 2'!J144</f>
        <v>26.25</v>
      </c>
      <c r="Z141" s="103">
        <f>'МРСК 2'!K144</f>
        <v>22.055949433708676</v>
      </c>
      <c r="AA141" s="238">
        <f>MIN(Z141:Z143)</f>
        <v>22.055949433708676</v>
      </c>
      <c r="AB141" s="88"/>
    </row>
    <row r="142" spans="1:28" ht="19.5">
      <c r="A142" s="14"/>
      <c r="B142" s="210" t="s">
        <v>59</v>
      </c>
      <c r="C142" s="8" t="str">
        <f>'МРСК 2'!C145</f>
        <v>25+25</v>
      </c>
      <c r="D142" s="8">
        <v>21521</v>
      </c>
      <c r="E142" s="8">
        <v>7872</v>
      </c>
      <c r="F142" s="105">
        <f t="shared" si="7"/>
        <v>22.915536760023755</v>
      </c>
      <c r="G142" s="33">
        <v>19.676</v>
      </c>
      <c r="H142" s="47"/>
      <c r="I142" s="15">
        <f t="shared" si="8"/>
        <v>3.239536760023757</v>
      </c>
      <c r="J142" s="15">
        <v>0</v>
      </c>
      <c r="K142" s="31">
        <v>26.25</v>
      </c>
      <c r="L142" s="46">
        <v>23.010463239976243</v>
      </c>
      <c r="M142" s="236"/>
      <c r="N142" s="34"/>
      <c r="P142" s="14"/>
      <c r="Q142" s="210" t="s">
        <v>59</v>
      </c>
      <c r="R142" s="8" t="str">
        <f>'МРСК 2'!C145</f>
        <v>25+25</v>
      </c>
      <c r="S142" s="8">
        <f>'МРСК 2'!D145</f>
        <v>0</v>
      </c>
      <c r="T142" s="99">
        <f>'МРСК 2'!E145</f>
        <v>22.915536760023755</v>
      </c>
      <c r="U142" s="33">
        <f>'МРСК 2'!F145</f>
        <v>19.676</v>
      </c>
      <c r="V142" s="47">
        <f>'МРСК 2'!G145</f>
        <v>0</v>
      </c>
      <c r="W142" s="15">
        <f>'МРСК 2'!H145</f>
        <v>3.239536760023757</v>
      </c>
      <c r="X142" s="15">
        <f>'МРСК 2'!I145</f>
        <v>0</v>
      </c>
      <c r="Y142" s="15">
        <f>'МРСК 2'!J145</f>
        <v>26.25</v>
      </c>
      <c r="Z142" s="46">
        <f>'МРСК 2'!K145</f>
        <v>23.010463239976243</v>
      </c>
      <c r="AA142" s="236"/>
      <c r="AB142" s="34"/>
    </row>
    <row r="143" spans="1:28" ht="20.25" thickBot="1">
      <c r="A143" s="74"/>
      <c r="B143" s="210" t="s">
        <v>60</v>
      </c>
      <c r="C143" s="75" t="str">
        <f>'МРСК 2'!C146</f>
        <v>25+25</v>
      </c>
      <c r="D143" s="75">
        <v>1613</v>
      </c>
      <c r="E143" s="75">
        <v>840</v>
      </c>
      <c r="F143" s="105">
        <f t="shared" si="7"/>
        <v>1.818617331931047</v>
      </c>
      <c r="G143" s="77">
        <v>0</v>
      </c>
      <c r="H143" s="78"/>
      <c r="I143" s="79">
        <f t="shared" si="8"/>
        <v>1.818617331931047</v>
      </c>
      <c r="J143" s="79">
        <v>0</v>
      </c>
      <c r="K143" s="80">
        <v>26.25</v>
      </c>
      <c r="L143" s="76">
        <v>24.431382668068952</v>
      </c>
      <c r="M143" s="237"/>
      <c r="N143" s="81"/>
      <c r="P143" s="74"/>
      <c r="Q143" s="210" t="s">
        <v>60</v>
      </c>
      <c r="R143" s="75" t="str">
        <f>'МРСК 2'!C146</f>
        <v>25+25</v>
      </c>
      <c r="S143" s="75">
        <f>'МРСК 2'!D146</f>
        <v>0</v>
      </c>
      <c r="T143" s="100">
        <f>'МРСК 2'!E146</f>
        <v>1.818617331931047</v>
      </c>
      <c r="U143" s="77">
        <f>'МРСК 2'!F146</f>
        <v>0</v>
      </c>
      <c r="V143" s="78">
        <f>'МРСК 2'!G146</f>
        <v>0</v>
      </c>
      <c r="W143" s="79">
        <f>'МРСК 2'!H146</f>
        <v>1.818617331931047</v>
      </c>
      <c r="X143" s="79">
        <f>'МРСК 2'!I146</f>
        <v>0</v>
      </c>
      <c r="Y143" s="79">
        <f>'МРСК 2'!J146</f>
        <v>26.25</v>
      </c>
      <c r="Z143" s="76">
        <f>'МРСК 2'!K146</f>
        <v>24.431382668068952</v>
      </c>
      <c r="AA143" s="237"/>
      <c r="AB143" s="81"/>
    </row>
    <row r="144" spans="1:28" ht="21" thickBot="1" thickTop="1">
      <c r="A144" s="82">
        <v>74</v>
      </c>
      <c r="B144" s="210" t="s">
        <v>135</v>
      </c>
      <c r="C144" s="84" t="str">
        <f>'МРСК 2'!C147</f>
        <v>16+16</v>
      </c>
      <c r="D144" s="84">
        <f>D145+D146</f>
        <v>16319</v>
      </c>
      <c r="E144" s="84">
        <f>E145+E146</f>
        <v>6059</v>
      </c>
      <c r="F144" s="105">
        <f t="shared" si="7"/>
        <v>17.407505335343142</v>
      </c>
      <c r="G144" s="85">
        <v>5.969</v>
      </c>
      <c r="H144" s="86">
        <v>120</v>
      </c>
      <c r="I144" s="87">
        <f t="shared" si="8"/>
        <v>11.438505335343141</v>
      </c>
      <c r="J144" s="87">
        <v>0</v>
      </c>
      <c r="K144" s="87">
        <v>16.8</v>
      </c>
      <c r="L144" s="103">
        <v>5.36149466465686</v>
      </c>
      <c r="M144" s="238">
        <f>MIN(L144:L146)</f>
        <v>5.36149466465686</v>
      </c>
      <c r="N144" s="88"/>
      <c r="P144" s="82">
        <v>74</v>
      </c>
      <c r="Q144" s="210" t="s">
        <v>135</v>
      </c>
      <c r="R144" s="84" t="str">
        <f>'МРСК 2'!C147</f>
        <v>16+16</v>
      </c>
      <c r="S144" s="84">
        <f>'МРСК 2'!D147</f>
        <v>0.206</v>
      </c>
      <c r="T144" s="101">
        <f>'МРСК 2'!E147</f>
        <v>17.61350533534314</v>
      </c>
      <c r="U144" s="85">
        <f>'МРСК 2'!F147</f>
        <v>5.969</v>
      </c>
      <c r="V144" s="86">
        <f>'МРСК 2'!G147</f>
        <v>120</v>
      </c>
      <c r="W144" s="87">
        <f>'МРСК 2'!H147</f>
        <v>11.64450533534314</v>
      </c>
      <c r="X144" s="87">
        <f>'МРСК 2'!I147</f>
        <v>0</v>
      </c>
      <c r="Y144" s="87">
        <f>'МРСК 2'!J147</f>
        <v>16.8</v>
      </c>
      <c r="Z144" s="103">
        <f>'МРСК 2'!K147</f>
        <v>5.15549466465686</v>
      </c>
      <c r="AA144" s="238">
        <f>MIN(Z144:Z146)</f>
        <v>5.15549466465686</v>
      </c>
      <c r="AB144" s="88"/>
    </row>
    <row r="145" spans="1:28" ht="21" thickBot="1" thickTop="1">
      <c r="A145" s="14"/>
      <c r="B145" s="210" t="s">
        <v>59</v>
      </c>
      <c r="C145" s="8" t="str">
        <f>'МРСК 2'!C148</f>
        <v>16+16</v>
      </c>
      <c r="D145" s="8">
        <v>7422</v>
      </c>
      <c r="E145" s="8">
        <v>3146</v>
      </c>
      <c r="F145" s="105">
        <f t="shared" si="7"/>
        <v>8.061228194264197</v>
      </c>
      <c r="G145" s="33">
        <v>5.969</v>
      </c>
      <c r="H145" s="47"/>
      <c r="I145" s="15">
        <f t="shared" si="8"/>
        <v>2.092228194264197</v>
      </c>
      <c r="J145" s="15">
        <v>0</v>
      </c>
      <c r="K145" s="31">
        <v>16.8</v>
      </c>
      <c r="L145" s="46">
        <v>14.707771805735803</v>
      </c>
      <c r="M145" s="236"/>
      <c r="N145" s="34"/>
      <c r="P145" s="14"/>
      <c r="Q145" s="210" t="s">
        <v>59</v>
      </c>
      <c r="R145" s="84" t="str">
        <f>'МРСК 2'!C148</f>
        <v>16+16</v>
      </c>
      <c r="S145" s="8">
        <f>'МРСК 2'!D148</f>
        <v>0</v>
      </c>
      <c r="T145" s="99">
        <f>'МРСК 2'!E148</f>
        <v>8.061228194264197</v>
      </c>
      <c r="U145" s="33">
        <f>'МРСК 2'!F148</f>
        <v>5.969</v>
      </c>
      <c r="V145" s="47">
        <f>'МРСК 2'!G148</f>
        <v>0</v>
      </c>
      <c r="W145" s="15">
        <f>'МРСК 2'!H148</f>
        <v>2.092228194264197</v>
      </c>
      <c r="X145" s="15">
        <f>'МРСК 2'!I148</f>
        <v>0</v>
      </c>
      <c r="Y145" s="15">
        <f>'МРСК 2'!J148</f>
        <v>16.8</v>
      </c>
      <c r="Z145" s="46">
        <f>'МРСК 2'!K148</f>
        <v>14.707771805735803</v>
      </c>
      <c r="AA145" s="236"/>
      <c r="AB145" s="34"/>
    </row>
    <row r="146" spans="1:28" ht="21" thickBot="1" thickTop="1">
      <c r="A146" s="74"/>
      <c r="B146" s="210" t="s">
        <v>60</v>
      </c>
      <c r="C146" s="75" t="str">
        <f>'МРСК 2'!C149</f>
        <v>16+16</v>
      </c>
      <c r="D146" s="75">
        <v>8897</v>
      </c>
      <c r="E146" s="75">
        <v>2913</v>
      </c>
      <c r="F146" s="105">
        <f t="shared" si="7"/>
        <v>9.36174011602544</v>
      </c>
      <c r="G146" s="77">
        <v>0</v>
      </c>
      <c r="H146" s="78"/>
      <c r="I146" s="79">
        <f t="shared" si="8"/>
        <v>9.36174011602544</v>
      </c>
      <c r="J146" s="79">
        <v>0</v>
      </c>
      <c r="K146" s="80">
        <v>16.8</v>
      </c>
      <c r="L146" s="76">
        <v>7.4382598839745615</v>
      </c>
      <c r="M146" s="237"/>
      <c r="N146" s="81"/>
      <c r="P146" s="74"/>
      <c r="Q146" s="210" t="s">
        <v>60</v>
      </c>
      <c r="R146" s="84" t="str">
        <f>'МРСК 2'!C149</f>
        <v>16+16</v>
      </c>
      <c r="S146" s="75">
        <f>'МРСК 2'!D149</f>
        <v>0.206</v>
      </c>
      <c r="T146" s="100">
        <f>'МРСК 2'!E149</f>
        <v>9.567740116025439</v>
      </c>
      <c r="U146" s="77">
        <f>'МРСК 2'!F149</f>
        <v>0</v>
      </c>
      <c r="V146" s="78">
        <f>'МРСК 2'!G149</f>
        <v>0</v>
      </c>
      <c r="W146" s="79">
        <f>'МРСК 2'!H149</f>
        <v>9.567740116025439</v>
      </c>
      <c r="X146" s="79">
        <f>'МРСК 2'!I149</f>
        <v>0</v>
      </c>
      <c r="Y146" s="79">
        <f>'МРСК 2'!J149</f>
        <v>16.8</v>
      </c>
      <c r="Z146" s="76">
        <f>'МРСК 2'!K149</f>
        <v>7.232259883974562</v>
      </c>
      <c r="AA146" s="237"/>
      <c r="AB146" s="81"/>
    </row>
    <row r="147" spans="1:28" ht="20.25" thickTop="1">
      <c r="A147" s="82">
        <v>75</v>
      </c>
      <c r="B147" s="210" t="s">
        <v>136</v>
      </c>
      <c r="C147" s="84" t="str">
        <f>'МРСК 2'!C150</f>
        <v>40+40</v>
      </c>
      <c r="D147" s="84">
        <f>D148+D149</f>
        <v>27508</v>
      </c>
      <c r="E147" s="84">
        <f>E148+E149</f>
        <v>12250</v>
      </c>
      <c r="F147" s="105">
        <f t="shared" si="7"/>
        <v>30.112332423776145</v>
      </c>
      <c r="G147" s="85">
        <v>16.65</v>
      </c>
      <c r="H147" s="86">
        <v>120</v>
      </c>
      <c r="I147" s="87">
        <f t="shared" si="8"/>
        <v>13.462332423776147</v>
      </c>
      <c r="J147" s="87">
        <v>0</v>
      </c>
      <c r="K147" s="87">
        <v>42</v>
      </c>
      <c r="L147" s="103">
        <v>28.537667576223853</v>
      </c>
      <c r="M147" s="238">
        <f>MIN(L147:L149)</f>
        <v>28.537667576223853</v>
      </c>
      <c r="N147" s="88"/>
      <c r="P147" s="82">
        <v>75</v>
      </c>
      <c r="Q147" s="210" t="s">
        <v>136</v>
      </c>
      <c r="R147" s="84" t="str">
        <f>'МРСК 2'!C150</f>
        <v>40+40</v>
      </c>
      <c r="S147" s="84">
        <f>'МРСК 2'!D150</f>
        <v>0.14900000000000002</v>
      </c>
      <c r="T147" s="101">
        <f>'МРСК 2'!E150</f>
        <v>30.261332423776146</v>
      </c>
      <c r="U147" s="85">
        <f>'МРСК 2'!F150</f>
        <v>16.65</v>
      </c>
      <c r="V147" s="86">
        <f>'МРСК 2'!G150</f>
        <v>120</v>
      </c>
      <c r="W147" s="87">
        <f>'МРСК 2'!H150</f>
        <v>13.611332423776147</v>
      </c>
      <c r="X147" s="87">
        <f>'МРСК 2'!I150</f>
        <v>0</v>
      </c>
      <c r="Y147" s="87">
        <f>'МРСК 2'!J150</f>
        <v>42</v>
      </c>
      <c r="Z147" s="103">
        <f>'МРСК 2'!K150</f>
        <v>28.388667576223853</v>
      </c>
      <c r="AA147" s="238">
        <f>MIN(Z147:Z149)</f>
        <v>28.388667576223853</v>
      </c>
      <c r="AB147" s="88"/>
    </row>
    <row r="148" spans="1:28" ht="19.5">
      <c r="A148" s="14"/>
      <c r="B148" s="210" t="s">
        <v>59</v>
      </c>
      <c r="C148" s="8" t="str">
        <f>'МРСК 2'!C151</f>
        <v>40+40</v>
      </c>
      <c r="D148" s="8">
        <v>15624</v>
      </c>
      <c r="E148" s="8">
        <v>7736</v>
      </c>
      <c r="F148" s="105">
        <f t="shared" si="7"/>
        <v>17.434307327794816</v>
      </c>
      <c r="G148" s="33">
        <v>11.682</v>
      </c>
      <c r="H148" s="47"/>
      <c r="I148" s="15">
        <f t="shared" si="8"/>
        <v>5.752307327794815</v>
      </c>
      <c r="J148" s="15">
        <v>0</v>
      </c>
      <c r="K148" s="31">
        <v>42</v>
      </c>
      <c r="L148" s="46">
        <v>36.24769267220518</v>
      </c>
      <c r="M148" s="236"/>
      <c r="N148" s="34"/>
      <c r="P148" s="14"/>
      <c r="Q148" s="210" t="s">
        <v>59</v>
      </c>
      <c r="R148" s="8" t="str">
        <f>'МРСК 2'!C151</f>
        <v>40+40</v>
      </c>
      <c r="S148" s="8">
        <f>'МРСК 2'!D151</f>
        <v>0</v>
      </c>
      <c r="T148" s="99">
        <f>'МРСК 2'!E151</f>
        <v>17.434307327794816</v>
      </c>
      <c r="U148" s="33">
        <f>'МРСК 2'!F151</f>
        <v>11.682</v>
      </c>
      <c r="V148" s="47">
        <f>'МРСК 2'!G151</f>
        <v>0</v>
      </c>
      <c r="W148" s="15">
        <f>'МРСК 2'!H151</f>
        <v>5.752307327794815</v>
      </c>
      <c r="X148" s="15">
        <f>'МРСК 2'!I151</f>
        <v>0</v>
      </c>
      <c r="Y148" s="15">
        <f>'МРСК 2'!J151</f>
        <v>42</v>
      </c>
      <c r="Z148" s="46">
        <f>'МРСК 2'!K151</f>
        <v>36.24769267220518</v>
      </c>
      <c r="AA148" s="236"/>
      <c r="AB148" s="34"/>
    </row>
    <row r="149" spans="1:28" ht="20.25" thickBot="1">
      <c r="A149" s="74"/>
      <c r="B149" s="210" t="s">
        <v>60</v>
      </c>
      <c r="C149" s="75" t="str">
        <f>'МРСК 2'!C152</f>
        <v>40+40</v>
      </c>
      <c r="D149" s="75">
        <v>11884</v>
      </c>
      <c r="E149" s="75">
        <v>4514</v>
      </c>
      <c r="F149" s="105">
        <f t="shared" si="7"/>
        <v>12.712421169863749</v>
      </c>
      <c r="G149" s="77">
        <v>4.967999999999998</v>
      </c>
      <c r="H149" s="78"/>
      <c r="I149" s="79">
        <f t="shared" si="8"/>
        <v>7.744421169863751</v>
      </c>
      <c r="J149" s="79">
        <v>0</v>
      </c>
      <c r="K149" s="80">
        <v>42</v>
      </c>
      <c r="L149" s="76">
        <v>34.25557883013625</v>
      </c>
      <c r="M149" s="237"/>
      <c r="N149" s="81"/>
      <c r="P149" s="74"/>
      <c r="Q149" s="210" t="s">
        <v>60</v>
      </c>
      <c r="R149" s="75" t="str">
        <f>'МРСК 2'!C152</f>
        <v>40+40</v>
      </c>
      <c r="S149" s="75">
        <f>'МРСК 2'!D152</f>
        <v>0.14900000000000002</v>
      </c>
      <c r="T149" s="100">
        <f>'МРСК 2'!E152</f>
        <v>12.86142116986375</v>
      </c>
      <c r="U149" s="77">
        <f>'МРСК 2'!F152</f>
        <v>4.967999999999998</v>
      </c>
      <c r="V149" s="78">
        <f>'МРСК 2'!G152</f>
        <v>0</v>
      </c>
      <c r="W149" s="79">
        <f>'МРСК 2'!H152</f>
        <v>7.8934211698637515</v>
      </c>
      <c r="X149" s="79">
        <f>'МРСК 2'!I152</f>
        <v>0</v>
      </c>
      <c r="Y149" s="79">
        <f>'МРСК 2'!J152</f>
        <v>42</v>
      </c>
      <c r="Z149" s="76">
        <f>'МРСК 2'!K152</f>
        <v>34.10657883013625</v>
      </c>
      <c r="AA149" s="237"/>
      <c r="AB149" s="81"/>
    </row>
    <row r="150" spans="1:28" ht="21" thickBot="1" thickTop="1">
      <c r="A150" s="14">
        <v>76</v>
      </c>
      <c r="B150" s="210" t="s">
        <v>137</v>
      </c>
      <c r="C150" s="47" t="str">
        <f>'МРСК 2'!C153</f>
        <v>3,2+10</v>
      </c>
      <c r="D150" s="47">
        <v>2394</v>
      </c>
      <c r="E150" s="47">
        <v>805</v>
      </c>
      <c r="F150" s="105">
        <f t="shared" si="7"/>
        <v>2.525719897375796</v>
      </c>
      <c r="G150" s="46">
        <v>0</v>
      </c>
      <c r="H150" s="16"/>
      <c r="I150" s="46">
        <f t="shared" si="8"/>
        <v>2.525719897375796</v>
      </c>
      <c r="J150" s="15">
        <v>0</v>
      </c>
      <c r="K150" s="45">
        <v>3.3600000000000003</v>
      </c>
      <c r="L150" s="105">
        <v>0.8342801026242044</v>
      </c>
      <c r="M150" s="46">
        <f>L150</f>
        <v>0.8342801026242044</v>
      </c>
      <c r="N150" s="34"/>
      <c r="P150" s="14">
        <v>76</v>
      </c>
      <c r="Q150" s="210" t="s">
        <v>137</v>
      </c>
      <c r="R150" s="47" t="str">
        <f>'МРСК 2'!C153</f>
        <v>3,2+10</v>
      </c>
      <c r="S150" s="47">
        <f>'МРСК 2'!D153</f>
        <v>0.038</v>
      </c>
      <c r="T150" s="15">
        <f>'МРСК 2'!E153</f>
        <v>2.5637198973757958</v>
      </c>
      <c r="U150" s="46">
        <f>'МРСК 2'!F153</f>
        <v>0</v>
      </c>
      <c r="V150" s="16">
        <f>'МРСК 2'!G153</f>
        <v>0</v>
      </c>
      <c r="W150" s="46">
        <f>'МРСК 2'!H153</f>
        <v>2.5637198973757958</v>
      </c>
      <c r="X150" s="15">
        <f>'МРСК 2'!I153</f>
        <v>0</v>
      </c>
      <c r="Y150" s="48">
        <f>'МРСК 2'!J153</f>
        <v>3.3600000000000003</v>
      </c>
      <c r="Z150" s="46">
        <f>'МРСК 2'!K153</f>
        <v>0.7962801026242046</v>
      </c>
      <c r="AA150" s="46" t="e">
        <f>'МРСК 2'!L153:L155</f>
        <v>#VALUE!</v>
      </c>
      <c r="AB150" s="34"/>
    </row>
    <row r="151" spans="1:28" ht="20.25" thickTop="1">
      <c r="A151" s="82">
        <v>77</v>
      </c>
      <c r="B151" s="210" t="s">
        <v>138</v>
      </c>
      <c r="C151" s="84" t="str">
        <f>'МРСК 2'!C154</f>
        <v>40+40</v>
      </c>
      <c r="D151" s="84">
        <f>D152+D153</f>
        <v>44406</v>
      </c>
      <c r="E151" s="84">
        <f>E152+E153</f>
        <v>12168</v>
      </c>
      <c r="F151" s="105">
        <f t="shared" si="7"/>
        <v>46.042947994236854</v>
      </c>
      <c r="G151" s="85">
        <v>12.94</v>
      </c>
      <c r="H151" s="86">
        <v>120</v>
      </c>
      <c r="I151" s="87">
        <f t="shared" si="8"/>
        <v>33.10294799423686</v>
      </c>
      <c r="J151" s="87">
        <v>0</v>
      </c>
      <c r="K151" s="87">
        <v>42</v>
      </c>
      <c r="L151" s="103">
        <v>8.897052005763143</v>
      </c>
      <c r="M151" s="238">
        <f>MIN(L151:L153)</f>
        <v>8.897052005763143</v>
      </c>
      <c r="N151" s="88"/>
      <c r="P151" s="82">
        <v>77</v>
      </c>
      <c r="Q151" s="210" t="s">
        <v>138</v>
      </c>
      <c r="R151" s="84" t="str">
        <f>'МРСК 2'!C154</f>
        <v>40+40</v>
      </c>
      <c r="S151" s="84">
        <f>'МРСК 2'!D154</f>
        <v>1.73</v>
      </c>
      <c r="T151" s="101">
        <f>'МРСК 2'!E154</f>
        <v>47.77294799423685</v>
      </c>
      <c r="U151" s="85">
        <f>'МРСК 2'!F154</f>
        <v>12.94</v>
      </c>
      <c r="V151" s="86">
        <f>'МРСК 2'!G154</f>
        <v>120</v>
      </c>
      <c r="W151" s="87">
        <f>'МРСК 2'!H154</f>
        <v>34.832947994236854</v>
      </c>
      <c r="X151" s="87">
        <f>'МРСК 2'!I154</f>
        <v>0</v>
      </c>
      <c r="Y151" s="87">
        <f>'МРСК 2'!J154</f>
        <v>42</v>
      </c>
      <c r="Z151" s="103">
        <f>'МРСК 2'!K154</f>
        <v>7.167052005763146</v>
      </c>
      <c r="AA151" s="238" t="e">
        <f>'МРСК 2'!L154:L156</f>
        <v>#VALUE!</v>
      </c>
      <c r="AB151" s="88"/>
    </row>
    <row r="152" spans="1:28" ht="19.5">
      <c r="A152" s="14"/>
      <c r="B152" s="210" t="s">
        <v>59</v>
      </c>
      <c r="C152" s="8" t="str">
        <f>'МРСК 2'!C155</f>
        <v>40+40</v>
      </c>
      <c r="D152" s="8">
        <v>7092</v>
      </c>
      <c r="E152" s="8">
        <v>1440</v>
      </c>
      <c r="F152" s="105">
        <f t="shared" si="7"/>
        <v>7.236716382448603</v>
      </c>
      <c r="G152" s="33">
        <v>3.42</v>
      </c>
      <c r="H152" s="47"/>
      <c r="I152" s="15">
        <f t="shared" si="8"/>
        <v>3.816716382448603</v>
      </c>
      <c r="J152" s="15">
        <v>0</v>
      </c>
      <c r="K152" s="31">
        <v>42</v>
      </c>
      <c r="L152" s="46">
        <v>38.183283617551396</v>
      </c>
      <c r="M152" s="236"/>
      <c r="N152" s="34"/>
      <c r="P152" s="14"/>
      <c r="Q152" s="210" t="s">
        <v>59</v>
      </c>
      <c r="R152" s="8" t="str">
        <f>'МРСК 2'!C155</f>
        <v>40+40</v>
      </c>
      <c r="S152" s="8">
        <f>'МРСК 2'!D155</f>
        <v>0</v>
      </c>
      <c r="T152" s="99">
        <f>'МРСК 2'!E155</f>
        <v>7.236716382448603</v>
      </c>
      <c r="U152" s="33">
        <f>'МРСК 2'!F155</f>
        <v>3.42</v>
      </c>
      <c r="V152" s="47">
        <f>'МРСК 2'!G155</f>
        <v>0</v>
      </c>
      <c r="W152" s="15">
        <f>'МРСК 2'!H155</f>
        <v>3.816716382448603</v>
      </c>
      <c r="X152" s="15">
        <f>'МРСК 2'!I155</f>
        <v>0</v>
      </c>
      <c r="Y152" s="15">
        <f>'МРСК 2'!J155</f>
        <v>42</v>
      </c>
      <c r="Z152" s="46">
        <f>'МРСК 2'!K155</f>
        <v>38.183283617551396</v>
      </c>
      <c r="AA152" s="236"/>
      <c r="AB152" s="34"/>
    </row>
    <row r="153" spans="1:28" ht="20.25" thickBot="1">
      <c r="A153" s="74"/>
      <c r="B153" s="210" t="s">
        <v>60</v>
      </c>
      <c r="C153" s="75" t="str">
        <f>'МРСК 2'!C156</f>
        <v>40+40</v>
      </c>
      <c r="D153" s="75">
        <v>37314</v>
      </c>
      <c r="E153" s="75">
        <v>10728</v>
      </c>
      <c r="F153" s="105">
        <f t="shared" si="7"/>
        <v>38.8255660615528</v>
      </c>
      <c r="G153" s="77">
        <v>9.52</v>
      </c>
      <c r="H153" s="78"/>
      <c r="I153" s="79">
        <f t="shared" si="8"/>
        <v>29.3055660615528</v>
      </c>
      <c r="J153" s="79">
        <v>0</v>
      </c>
      <c r="K153" s="80">
        <v>42</v>
      </c>
      <c r="L153" s="76">
        <v>12.694433938447201</v>
      </c>
      <c r="M153" s="237"/>
      <c r="N153" s="81"/>
      <c r="P153" s="74"/>
      <c r="Q153" s="210" t="s">
        <v>60</v>
      </c>
      <c r="R153" s="75" t="str">
        <f>'МРСК 2'!C156</f>
        <v>40+40</v>
      </c>
      <c r="S153" s="75">
        <f>'МРСК 2'!D156</f>
        <v>1.73</v>
      </c>
      <c r="T153" s="100">
        <f>'МРСК 2'!E156</f>
        <v>40.555566061552796</v>
      </c>
      <c r="U153" s="77">
        <f>'МРСК 2'!F156</f>
        <v>9.52</v>
      </c>
      <c r="V153" s="78">
        <f>'МРСК 2'!G156</f>
        <v>0</v>
      </c>
      <c r="W153" s="79">
        <f>'МРСК 2'!H156</f>
        <v>31.035566061552796</v>
      </c>
      <c r="X153" s="79">
        <f>'МРСК 2'!I156</f>
        <v>0</v>
      </c>
      <c r="Y153" s="79">
        <f>'МРСК 2'!J156</f>
        <v>42</v>
      </c>
      <c r="Z153" s="76">
        <f>'МРСК 2'!K156</f>
        <v>10.964433938447204</v>
      </c>
      <c r="AA153" s="237"/>
      <c r="AB153" s="81"/>
    </row>
    <row r="154" spans="1:28" ht="20.25" thickTop="1">
      <c r="A154" s="14">
        <v>78</v>
      </c>
      <c r="B154" s="210" t="s">
        <v>139</v>
      </c>
      <c r="C154" s="47" t="str">
        <f>'МРСК 2'!C157</f>
        <v>2,5+2,5</v>
      </c>
      <c r="D154" s="47">
        <v>776</v>
      </c>
      <c r="E154" s="47">
        <v>312</v>
      </c>
      <c r="F154" s="105">
        <f t="shared" si="7"/>
        <v>0.836373122475848</v>
      </c>
      <c r="G154" s="46">
        <v>0.4326661530556787</v>
      </c>
      <c r="H154" s="16">
        <v>120</v>
      </c>
      <c r="I154" s="46">
        <f t="shared" si="8"/>
        <v>0.40370696942016937</v>
      </c>
      <c r="J154" s="15">
        <v>0</v>
      </c>
      <c r="K154" s="45">
        <v>2.625</v>
      </c>
      <c r="L154" s="105">
        <v>2.2212930305798304</v>
      </c>
      <c r="M154" s="46">
        <f>L154</f>
        <v>2.2212930305798304</v>
      </c>
      <c r="N154" s="34"/>
      <c r="P154" s="14">
        <v>78</v>
      </c>
      <c r="Q154" s="210" t="s">
        <v>139</v>
      </c>
      <c r="R154" s="47" t="str">
        <f>'МРСК 2'!C157</f>
        <v>2,5+2,5</v>
      </c>
      <c r="S154" s="47">
        <f>'МРСК 2'!D157</f>
        <v>0.015</v>
      </c>
      <c r="T154" s="15">
        <f>'МРСК 2'!E157</f>
        <v>0.8513731224758481</v>
      </c>
      <c r="U154" s="46">
        <f>'МРСК 2'!F157</f>
        <v>0.4326661530556787</v>
      </c>
      <c r="V154" s="16">
        <f>'МРСК 2'!G157</f>
        <v>120</v>
      </c>
      <c r="W154" s="46">
        <f>'МРСК 2'!H157</f>
        <v>0.4187069694201694</v>
      </c>
      <c r="X154" s="15">
        <f>'МРСК 2'!I157</f>
        <v>0</v>
      </c>
      <c r="Y154" s="48">
        <f>'МРСК 2'!J157</f>
        <v>2.625</v>
      </c>
      <c r="Z154" s="46">
        <f>'МРСК 2'!K157</f>
        <v>2.2062930305798307</v>
      </c>
      <c r="AA154" s="46" t="e">
        <f>'МРСК 2'!L157:L159</f>
        <v>#VALUE!</v>
      </c>
      <c r="AB154" s="34"/>
    </row>
    <row r="155" spans="1:28" ht="19.5" customHeight="1">
      <c r="A155" s="14">
        <v>79</v>
      </c>
      <c r="B155" s="210" t="s">
        <v>140</v>
      </c>
      <c r="C155" s="47" t="str">
        <f>'МРСК 2'!C158</f>
        <v>2,5+2,5</v>
      </c>
      <c r="D155" s="47">
        <v>928</v>
      </c>
      <c r="E155" s="47">
        <v>280</v>
      </c>
      <c r="F155" s="105">
        <f t="shared" si="7"/>
        <v>0.9693214121229345</v>
      </c>
      <c r="G155" s="46">
        <v>0.46639018642623853</v>
      </c>
      <c r="H155" s="16">
        <v>120</v>
      </c>
      <c r="I155" s="46">
        <f t="shared" si="8"/>
        <v>0.502931225696696</v>
      </c>
      <c r="J155" s="15">
        <v>0</v>
      </c>
      <c r="K155" s="45">
        <v>2.625</v>
      </c>
      <c r="L155" s="105">
        <v>2.1220687743033038</v>
      </c>
      <c r="M155" s="46">
        <f aca="true" t="shared" si="9" ref="M155:M218">L155</f>
        <v>2.1220687743033038</v>
      </c>
      <c r="N155" s="34"/>
      <c r="P155" s="14">
        <v>79</v>
      </c>
      <c r="Q155" s="210" t="s">
        <v>140</v>
      </c>
      <c r="R155" s="47" t="str">
        <f>'МРСК 2'!C158</f>
        <v>2,5+2,5</v>
      </c>
      <c r="S155" s="47">
        <f>'МРСК 2'!D158</f>
        <v>0</v>
      </c>
      <c r="T155" s="15">
        <f>'МРСК 2'!E158</f>
        <v>0.9693214121229345</v>
      </c>
      <c r="U155" s="46">
        <f>'МРСК 2'!F158</f>
        <v>0.46639018642623853</v>
      </c>
      <c r="V155" s="16">
        <f>'МРСК 2'!G158</f>
        <v>120</v>
      </c>
      <c r="W155" s="46">
        <f>'МРСК 2'!H158</f>
        <v>0.502931225696696</v>
      </c>
      <c r="X155" s="15">
        <f>'МРСК 2'!I158</f>
        <v>0</v>
      </c>
      <c r="Y155" s="48">
        <f>'МРСК 2'!J158</f>
        <v>2.625</v>
      </c>
      <c r="Z155" s="46">
        <f>'МРСК 2'!K158</f>
        <v>2.1220687743033038</v>
      </c>
      <c r="AA155" s="46" t="e">
        <f>'МРСК 2'!L158:L160</f>
        <v>#VALUE!</v>
      </c>
      <c r="AB155" s="34"/>
    </row>
    <row r="156" spans="1:28" ht="19.5">
      <c r="A156" s="14">
        <v>80</v>
      </c>
      <c r="B156" s="210" t="s">
        <v>141</v>
      </c>
      <c r="C156" s="47" t="str">
        <f>'МРСК 2'!C159</f>
        <v>4+4</v>
      </c>
      <c r="D156" s="47">
        <v>872</v>
      </c>
      <c r="E156" s="47">
        <v>312</v>
      </c>
      <c r="F156" s="105">
        <f t="shared" si="7"/>
        <v>0.9261360591187453</v>
      </c>
      <c r="G156" s="46">
        <v>0</v>
      </c>
      <c r="H156" s="16"/>
      <c r="I156" s="46">
        <f t="shared" si="8"/>
        <v>0.9261360591187453</v>
      </c>
      <c r="J156" s="15">
        <v>0</v>
      </c>
      <c r="K156" s="45">
        <v>4.2</v>
      </c>
      <c r="L156" s="105">
        <v>3.273863940881255</v>
      </c>
      <c r="M156" s="46">
        <f t="shared" si="9"/>
        <v>3.273863940881255</v>
      </c>
      <c r="N156" s="34"/>
      <c r="P156" s="14">
        <v>80</v>
      </c>
      <c r="Q156" s="210" t="s">
        <v>141</v>
      </c>
      <c r="R156" s="47" t="str">
        <f>'МРСК 2'!C159</f>
        <v>4+4</v>
      </c>
      <c r="S156" s="47">
        <f>'МРСК 2'!D159</f>
        <v>0.06</v>
      </c>
      <c r="T156" s="15">
        <f>'МРСК 2'!E159</f>
        <v>0.9861360591187454</v>
      </c>
      <c r="U156" s="46">
        <f>'МРСК 2'!F159</f>
        <v>0</v>
      </c>
      <c r="V156" s="16">
        <f>'МРСК 2'!G159</f>
        <v>0</v>
      </c>
      <c r="W156" s="46">
        <f>'МРСК 2'!H159</f>
        <v>0.9861360591187454</v>
      </c>
      <c r="X156" s="15">
        <f>'МРСК 2'!I159</f>
        <v>0</v>
      </c>
      <c r="Y156" s="48">
        <f>'МРСК 2'!J159</f>
        <v>4.2</v>
      </c>
      <c r="Z156" s="46">
        <f>'МРСК 2'!K159</f>
        <v>3.2138639408812546</v>
      </c>
      <c r="AA156" s="46" t="e">
        <f>'МРСК 2'!L159:L161</f>
        <v>#VALUE!</v>
      </c>
      <c r="AB156" s="34"/>
    </row>
    <row r="157" spans="1:28" ht="19.5">
      <c r="A157" s="14">
        <v>81</v>
      </c>
      <c r="B157" s="210" t="s">
        <v>142</v>
      </c>
      <c r="C157" s="47" t="str">
        <f>'МРСК 2'!C160</f>
        <v>2,5+2,5</v>
      </c>
      <c r="D157" s="47">
        <v>1014</v>
      </c>
      <c r="E157" s="47">
        <v>366</v>
      </c>
      <c r="F157" s="105">
        <f t="shared" si="7"/>
        <v>1.0780315394273028</v>
      </c>
      <c r="G157" s="46">
        <v>0.4465178692384436</v>
      </c>
      <c r="H157" s="16">
        <v>80</v>
      </c>
      <c r="I157" s="46">
        <f t="shared" si="8"/>
        <v>0.6315136701888592</v>
      </c>
      <c r="J157" s="15">
        <v>0</v>
      </c>
      <c r="K157" s="45">
        <v>2.625</v>
      </c>
      <c r="L157" s="105">
        <v>1.993486329811141</v>
      </c>
      <c r="M157" s="46">
        <f t="shared" si="9"/>
        <v>1.993486329811141</v>
      </c>
      <c r="N157" s="34"/>
      <c r="P157" s="14">
        <v>81</v>
      </c>
      <c r="Q157" s="210" t="s">
        <v>142</v>
      </c>
      <c r="R157" s="47" t="str">
        <f>'МРСК 2'!C160</f>
        <v>2,5+2,5</v>
      </c>
      <c r="S157" s="47">
        <f>'МРСК 2'!D160</f>
        <v>0.015</v>
      </c>
      <c r="T157" s="15">
        <f>'МРСК 2'!E160</f>
        <v>1.0930315394273027</v>
      </c>
      <c r="U157" s="46">
        <f>'МРСК 2'!F160</f>
        <v>0.4465178692384436</v>
      </c>
      <c r="V157" s="16">
        <f>'МРСК 2'!G160</f>
        <v>80</v>
      </c>
      <c r="W157" s="46">
        <f>'МРСК 2'!H160</f>
        <v>0.6465136701888591</v>
      </c>
      <c r="X157" s="15">
        <f>'МРСК 2'!I160</f>
        <v>0</v>
      </c>
      <c r="Y157" s="48">
        <f>'МРСК 2'!J160</f>
        <v>2.625</v>
      </c>
      <c r="Z157" s="46">
        <f>'МРСК 2'!K160</f>
        <v>1.9784863298111408</v>
      </c>
      <c r="AA157" s="46" t="e">
        <f>'МРСК 2'!L160:L162</f>
        <v>#VALUE!</v>
      </c>
      <c r="AB157" s="34"/>
    </row>
    <row r="158" spans="1:28" ht="19.5">
      <c r="A158" s="14">
        <v>82</v>
      </c>
      <c r="B158" s="210" t="s">
        <v>143</v>
      </c>
      <c r="C158" s="47" t="str">
        <f>'МРСК 2'!C161</f>
        <v>6,3+6,3</v>
      </c>
      <c r="D158" s="47">
        <v>3332</v>
      </c>
      <c r="E158" s="47">
        <v>2520</v>
      </c>
      <c r="F158" s="105">
        <f t="shared" si="7"/>
        <v>4.177633780024285</v>
      </c>
      <c r="G158" s="46">
        <v>0.55</v>
      </c>
      <c r="H158" s="16">
        <v>45</v>
      </c>
      <c r="I158" s="46">
        <f t="shared" si="8"/>
        <v>3.6276337800242855</v>
      </c>
      <c r="J158" s="15">
        <v>0</v>
      </c>
      <c r="K158" s="45">
        <v>6.615</v>
      </c>
      <c r="L158" s="105">
        <v>2.9873662199757147</v>
      </c>
      <c r="M158" s="46">
        <f t="shared" si="9"/>
        <v>2.9873662199757147</v>
      </c>
      <c r="N158" s="34"/>
      <c r="P158" s="14">
        <v>82</v>
      </c>
      <c r="Q158" s="210" t="s">
        <v>143</v>
      </c>
      <c r="R158" s="47" t="str">
        <f>'МРСК 2'!C161</f>
        <v>6,3+6,3</v>
      </c>
      <c r="S158" s="47">
        <f>'МРСК 2'!D161</f>
        <v>0.015</v>
      </c>
      <c r="T158" s="15">
        <f>'МРСК 2'!E161</f>
        <v>4.192633780024285</v>
      </c>
      <c r="U158" s="46">
        <f>'МРСК 2'!F161</f>
        <v>0.55</v>
      </c>
      <c r="V158" s="16">
        <f>'МРСК 2'!G161</f>
        <v>45</v>
      </c>
      <c r="W158" s="46">
        <f>'МРСК 2'!H161</f>
        <v>3.642633780024285</v>
      </c>
      <c r="X158" s="15">
        <f>'МРСК 2'!I161</f>
        <v>0</v>
      </c>
      <c r="Y158" s="48">
        <f>'МРСК 2'!J161</f>
        <v>6.615</v>
      </c>
      <c r="Z158" s="46">
        <f>'МРСК 2'!K161</f>
        <v>2.972366219975715</v>
      </c>
      <c r="AA158" s="46" t="e">
        <f>'МРСК 2'!L161:L163</f>
        <v>#VALUE!</v>
      </c>
      <c r="AB158" s="34"/>
    </row>
    <row r="159" spans="1:28" ht="19.5">
      <c r="A159" s="14">
        <v>83</v>
      </c>
      <c r="B159" s="210" t="s">
        <v>144</v>
      </c>
      <c r="C159" s="47" t="str">
        <f>'МРСК 2'!C162</f>
        <v>4+4</v>
      </c>
      <c r="D159" s="47">
        <v>2632</v>
      </c>
      <c r="E159" s="47">
        <v>912</v>
      </c>
      <c r="F159" s="105">
        <f t="shared" si="7"/>
        <v>2.785528316136815</v>
      </c>
      <c r="G159" s="46">
        <v>1.191</v>
      </c>
      <c r="H159" s="16">
        <v>120</v>
      </c>
      <c r="I159" s="46">
        <f t="shared" si="8"/>
        <v>1.5945283161368151</v>
      </c>
      <c r="J159" s="15">
        <v>0</v>
      </c>
      <c r="K159" s="45">
        <v>4.2</v>
      </c>
      <c r="L159" s="105">
        <v>2.6054716838631853</v>
      </c>
      <c r="M159" s="46">
        <f t="shared" si="9"/>
        <v>2.6054716838631853</v>
      </c>
      <c r="N159" s="34"/>
      <c r="P159" s="14">
        <v>83</v>
      </c>
      <c r="Q159" s="210" t="s">
        <v>144</v>
      </c>
      <c r="R159" s="47" t="str">
        <f>'МРСК 2'!C162</f>
        <v>4+4</v>
      </c>
      <c r="S159" s="47">
        <f>'МРСК 2'!D162</f>
        <v>0.015</v>
      </c>
      <c r="T159" s="15">
        <f>'МРСК 2'!E162</f>
        <v>2.8005283161368153</v>
      </c>
      <c r="U159" s="46">
        <f>'МРСК 2'!F162</f>
        <v>1.191</v>
      </c>
      <c r="V159" s="16">
        <f>'МРСК 2'!G162</f>
        <v>120</v>
      </c>
      <c r="W159" s="46">
        <f>'МРСК 2'!H162</f>
        <v>1.6095283161368152</v>
      </c>
      <c r="X159" s="15">
        <f>'МРСК 2'!I162</f>
        <v>0</v>
      </c>
      <c r="Y159" s="48">
        <f>'МРСК 2'!J162</f>
        <v>4.2</v>
      </c>
      <c r="Z159" s="46">
        <f>'МРСК 2'!K162</f>
        <v>2.5904716838631847</v>
      </c>
      <c r="AA159" s="46" t="e">
        <f>'МРСК 2'!L162:L164</f>
        <v>#VALUE!</v>
      </c>
      <c r="AB159" s="34"/>
    </row>
    <row r="160" spans="1:28" ht="19.5">
      <c r="A160" s="14">
        <v>84</v>
      </c>
      <c r="B160" s="210" t="s">
        <v>145</v>
      </c>
      <c r="C160" s="47" t="str">
        <f>'МРСК 2'!C163</f>
        <v>4+4</v>
      </c>
      <c r="D160" s="47">
        <v>1136</v>
      </c>
      <c r="E160" s="47">
        <v>448</v>
      </c>
      <c r="F160" s="105">
        <f t="shared" si="7"/>
        <v>1.2211470017978998</v>
      </c>
      <c r="G160" s="46">
        <v>0.6248809275468652</v>
      </c>
      <c r="H160" s="16">
        <v>80</v>
      </c>
      <c r="I160" s="46">
        <f t="shared" si="8"/>
        <v>0.5962660742510346</v>
      </c>
      <c r="J160" s="15">
        <v>0</v>
      </c>
      <c r="K160" s="45">
        <v>4.2</v>
      </c>
      <c r="L160" s="105">
        <v>3.6037339257489656</v>
      </c>
      <c r="M160" s="46">
        <f t="shared" si="9"/>
        <v>3.6037339257489656</v>
      </c>
      <c r="N160" s="34"/>
      <c r="P160" s="14">
        <v>84</v>
      </c>
      <c r="Q160" s="210" t="s">
        <v>145</v>
      </c>
      <c r="R160" s="47" t="str">
        <f>'МРСК 2'!C163</f>
        <v>4+4</v>
      </c>
      <c r="S160" s="47">
        <f>'МРСК 2'!D163</f>
        <v>0</v>
      </c>
      <c r="T160" s="15">
        <f>'МРСК 2'!E163</f>
        <v>1.2211470017978998</v>
      </c>
      <c r="U160" s="46">
        <f>'МРСК 2'!F163</f>
        <v>0.6248809275468652</v>
      </c>
      <c r="V160" s="16">
        <f>'МРСК 2'!G163</f>
        <v>80</v>
      </c>
      <c r="W160" s="46">
        <f>'МРСК 2'!H163</f>
        <v>0.5962660742510346</v>
      </c>
      <c r="X160" s="15">
        <f>'МРСК 2'!I163</f>
        <v>0</v>
      </c>
      <c r="Y160" s="48">
        <f>'МРСК 2'!J163</f>
        <v>4.2</v>
      </c>
      <c r="Z160" s="46">
        <f>'МРСК 2'!K163</f>
        <v>3.6037339257489656</v>
      </c>
      <c r="AA160" s="46" t="e">
        <f>'МРСК 2'!L163:L165</f>
        <v>#VALUE!</v>
      </c>
      <c r="AB160" s="34"/>
    </row>
    <row r="161" spans="1:28" ht="19.5">
      <c r="A161" s="14">
        <v>85</v>
      </c>
      <c r="B161" s="210" t="s">
        <v>146</v>
      </c>
      <c r="C161" s="47" t="str">
        <f>'МРСК 2'!C164</f>
        <v>2,5+2,5</v>
      </c>
      <c r="D161" s="47">
        <v>1032</v>
      </c>
      <c r="E161" s="47">
        <v>420</v>
      </c>
      <c r="F161" s="105">
        <f t="shared" si="7"/>
        <v>1.1141920839783417</v>
      </c>
      <c r="G161" s="46">
        <v>0.447794595769087</v>
      </c>
      <c r="H161" s="16">
        <v>45</v>
      </c>
      <c r="I161" s="46">
        <f t="shared" si="8"/>
        <v>0.6663974882092547</v>
      </c>
      <c r="J161" s="15">
        <v>0</v>
      </c>
      <c r="K161" s="45">
        <v>2.625</v>
      </c>
      <c r="L161" s="105">
        <v>1.9586025117907453</v>
      </c>
      <c r="M161" s="46">
        <f t="shared" si="9"/>
        <v>1.9586025117907453</v>
      </c>
      <c r="N161" s="34"/>
      <c r="P161" s="14">
        <v>85</v>
      </c>
      <c r="Q161" s="210" t="s">
        <v>146</v>
      </c>
      <c r="R161" s="47" t="str">
        <f>'МРСК 2'!C164</f>
        <v>2,5+2,5</v>
      </c>
      <c r="S161" s="47">
        <f>'МРСК 2'!D164</f>
        <v>0</v>
      </c>
      <c r="T161" s="15">
        <f>'МРСК 2'!E164</f>
        <v>1.1141920839783417</v>
      </c>
      <c r="U161" s="46">
        <f>'МРСК 2'!F164</f>
        <v>0.447794595769087</v>
      </c>
      <c r="V161" s="16">
        <f>'МРСК 2'!G164</f>
        <v>45</v>
      </c>
      <c r="W161" s="46">
        <f>'МРСК 2'!H164</f>
        <v>0.6663974882092547</v>
      </c>
      <c r="X161" s="15">
        <f>'МРСК 2'!I164</f>
        <v>0</v>
      </c>
      <c r="Y161" s="48">
        <f>'МРСК 2'!J164</f>
        <v>2.625</v>
      </c>
      <c r="Z161" s="46">
        <f>'МРСК 2'!K164</f>
        <v>1.9586025117907453</v>
      </c>
      <c r="AA161" s="46" t="e">
        <f>'МРСК 2'!L164:L166</f>
        <v>#VALUE!</v>
      </c>
      <c r="AB161" s="34"/>
    </row>
    <row r="162" spans="1:28" ht="19.5">
      <c r="A162" s="14">
        <v>86</v>
      </c>
      <c r="B162" s="210" t="s">
        <v>147</v>
      </c>
      <c r="C162" s="47" t="str">
        <f>'МРСК 2'!C165</f>
        <v>2,5+2,5</v>
      </c>
      <c r="D162" s="47">
        <v>808</v>
      </c>
      <c r="E162" s="47">
        <v>408</v>
      </c>
      <c r="F162" s="105">
        <f t="shared" si="7"/>
        <v>0.9051673878349794</v>
      </c>
      <c r="G162" s="46">
        <v>0.606</v>
      </c>
      <c r="H162" s="16">
        <v>45</v>
      </c>
      <c r="I162" s="46">
        <f t="shared" si="8"/>
        <v>0.2991673878349794</v>
      </c>
      <c r="J162" s="15">
        <v>0</v>
      </c>
      <c r="K162" s="45">
        <v>2.625</v>
      </c>
      <c r="L162" s="105">
        <v>2.3258326121650206</v>
      </c>
      <c r="M162" s="46">
        <f t="shared" si="9"/>
        <v>2.3258326121650206</v>
      </c>
      <c r="N162" s="34"/>
      <c r="P162" s="14">
        <v>86</v>
      </c>
      <c r="Q162" s="210" t="s">
        <v>147</v>
      </c>
      <c r="R162" s="47" t="str">
        <f>'МРСК 2'!C165</f>
        <v>2,5+2,5</v>
      </c>
      <c r="S162" s="47">
        <f>'МРСК 2'!D165</f>
        <v>0.015</v>
      </c>
      <c r="T162" s="15">
        <f>'МРСК 2'!E165</f>
        <v>0.9201673878349794</v>
      </c>
      <c r="U162" s="46">
        <f>'МРСК 2'!F165</f>
        <v>0.606</v>
      </c>
      <c r="V162" s="16">
        <f>'МРСК 2'!G165</f>
        <v>45</v>
      </c>
      <c r="W162" s="46">
        <f>'МРСК 2'!H165</f>
        <v>0.31416738783497944</v>
      </c>
      <c r="X162" s="15">
        <f>'МРСК 2'!I165</f>
        <v>0</v>
      </c>
      <c r="Y162" s="48">
        <f>'МРСК 2'!J165</f>
        <v>2.625</v>
      </c>
      <c r="Z162" s="46">
        <f>'МРСК 2'!K165</f>
        <v>2.3108326121650204</v>
      </c>
      <c r="AA162" s="46" t="e">
        <f>'МРСК 2'!L165:L167</f>
        <v>#VALUE!</v>
      </c>
      <c r="AB162" s="34"/>
    </row>
    <row r="163" spans="1:28" ht="19.5">
      <c r="A163" s="14">
        <v>87</v>
      </c>
      <c r="B163" s="210" t="s">
        <v>148</v>
      </c>
      <c r="C163" s="47" t="str">
        <f>'МРСК 2'!C166</f>
        <v>6,3+6,3</v>
      </c>
      <c r="D163" s="47">
        <v>3564</v>
      </c>
      <c r="E163" s="47">
        <v>1236</v>
      </c>
      <c r="F163" s="105">
        <f t="shared" si="7"/>
        <v>3.7722396530443287</v>
      </c>
      <c r="G163" s="46">
        <v>2.83</v>
      </c>
      <c r="H163" s="16">
        <v>45</v>
      </c>
      <c r="I163" s="46">
        <f t="shared" si="8"/>
        <v>0.9422396530443287</v>
      </c>
      <c r="J163" s="15">
        <v>0</v>
      </c>
      <c r="K163" s="45">
        <v>6.615</v>
      </c>
      <c r="L163" s="105">
        <v>5.6727603469556716</v>
      </c>
      <c r="M163" s="46">
        <f t="shared" si="9"/>
        <v>5.6727603469556716</v>
      </c>
      <c r="N163" s="34"/>
      <c r="P163" s="14">
        <v>87</v>
      </c>
      <c r="Q163" s="210" t="s">
        <v>148</v>
      </c>
      <c r="R163" s="47" t="str">
        <f>'МРСК 2'!C166</f>
        <v>6,3+6,3</v>
      </c>
      <c r="S163" s="47">
        <f>'МРСК 2'!D166</f>
        <v>0.259</v>
      </c>
      <c r="T163" s="15">
        <f>'МРСК 2'!E166</f>
        <v>4.031239653044329</v>
      </c>
      <c r="U163" s="46">
        <f>'МРСК 2'!F166</f>
        <v>2.83</v>
      </c>
      <c r="V163" s="16">
        <f>'МРСК 2'!G166</f>
        <v>45</v>
      </c>
      <c r="W163" s="46">
        <f>'МРСК 2'!H166</f>
        <v>1.201239653044329</v>
      </c>
      <c r="X163" s="15">
        <f>'МРСК 2'!I166</f>
        <v>0</v>
      </c>
      <c r="Y163" s="48">
        <f>'МРСК 2'!J166</f>
        <v>6.615</v>
      </c>
      <c r="Z163" s="46">
        <f>'МРСК 2'!K166</f>
        <v>5.413760346955671</v>
      </c>
      <c r="AA163" s="46" t="e">
        <f>'МРСК 2'!L166:L168</f>
        <v>#VALUE!</v>
      </c>
      <c r="AB163" s="34"/>
    </row>
    <row r="164" spans="1:28" ht="19.5">
      <c r="A164" s="14">
        <v>88</v>
      </c>
      <c r="B164" s="210" t="s">
        <v>149</v>
      </c>
      <c r="C164" s="47" t="str">
        <f>'МРСК 2'!C167</f>
        <v>4+4</v>
      </c>
      <c r="D164" s="47">
        <v>3592</v>
      </c>
      <c r="E164" s="47">
        <v>1632</v>
      </c>
      <c r="F164" s="105">
        <f t="shared" si="7"/>
        <v>3.9453628476985485</v>
      </c>
      <c r="G164" s="46">
        <v>1.21</v>
      </c>
      <c r="H164" s="16">
        <v>80</v>
      </c>
      <c r="I164" s="46">
        <f t="shared" si="8"/>
        <v>2.7353628476985485</v>
      </c>
      <c r="J164" s="15">
        <v>0</v>
      </c>
      <c r="K164" s="45">
        <v>4.2</v>
      </c>
      <c r="L164" s="105">
        <v>1.4646371523014516</v>
      </c>
      <c r="M164" s="46">
        <f t="shared" si="9"/>
        <v>1.4646371523014516</v>
      </c>
      <c r="N164" s="34"/>
      <c r="P164" s="14">
        <v>88</v>
      </c>
      <c r="Q164" s="210" t="s">
        <v>149</v>
      </c>
      <c r="R164" s="47" t="str">
        <f>'МРСК 2'!C167</f>
        <v>4+4</v>
      </c>
      <c r="S164" s="47">
        <f>'МРСК 2'!D167</f>
        <v>0.105</v>
      </c>
      <c r="T164" s="15">
        <f>'МРСК 2'!E167</f>
        <v>4.0503628476985485</v>
      </c>
      <c r="U164" s="46">
        <f>'МРСК 2'!F167</f>
        <v>1.21</v>
      </c>
      <c r="V164" s="16">
        <f>'МРСК 2'!G167</f>
        <v>80</v>
      </c>
      <c r="W164" s="46">
        <f>'МРСК 2'!H167</f>
        <v>2.8403628476985485</v>
      </c>
      <c r="X164" s="15">
        <f>'МРСК 2'!I167</f>
        <v>0</v>
      </c>
      <c r="Y164" s="48">
        <f>'МРСК 2'!J167</f>
        <v>4.2</v>
      </c>
      <c r="Z164" s="46">
        <f>'МРСК 2'!K167</f>
        <v>1.3596371523014517</v>
      </c>
      <c r="AA164" s="46" t="e">
        <f>'МРСК 2'!L167:L169</f>
        <v>#VALUE!</v>
      </c>
      <c r="AB164" s="34"/>
    </row>
    <row r="165" spans="1:28" ht="19.5">
      <c r="A165" s="14">
        <v>89</v>
      </c>
      <c r="B165" s="210" t="s">
        <v>150</v>
      </c>
      <c r="C165" s="47" t="str">
        <f>'МРСК 2'!C168</f>
        <v>2,5+4</v>
      </c>
      <c r="D165" s="47">
        <v>1936</v>
      </c>
      <c r="E165" s="47">
        <v>800</v>
      </c>
      <c r="F165" s="105">
        <f t="shared" si="7"/>
        <v>2.0947782698892023</v>
      </c>
      <c r="G165" s="46">
        <v>1.3213999028416417</v>
      </c>
      <c r="H165" s="16">
        <v>45</v>
      </c>
      <c r="I165" s="46">
        <f t="shared" si="8"/>
        <v>0.7733783670475607</v>
      </c>
      <c r="J165" s="15">
        <v>0</v>
      </c>
      <c r="K165" s="45">
        <v>2.625</v>
      </c>
      <c r="L165" s="105">
        <v>1.8516216329524393</v>
      </c>
      <c r="M165" s="46">
        <f t="shared" si="9"/>
        <v>1.8516216329524393</v>
      </c>
      <c r="N165" s="34"/>
      <c r="P165" s="14">
        <v>89</v>
      </c>
      <c r="Q165" s="210" t="s">
        <v>150</v>
      </c>
      <c r="R165" s="47" t="str">
        <f>'МРСК 2'!C168</f>
        <v>2,5+4</v>
      </c>
      <c r="S165" s="47">
        <f>'МРСК 2'!D168</f>
        <v>0.014</v>
      </c>
      <c r="T165" s="15">
        <f>'МРСК 2'!E168</f>
        <v>2.108778269889202</v>
      </c>
      <c r="U165" s="46">
        <f>'МРСК 2'!F168</f>
        <v>1.3213999028416417</v>
      </c>
      <c r="V165" s="16">
        <f>'МРСК 2'!G168</f>
        <v>45</v>
      </c>
      <c r="W165" s="46">
        <f>'МРСК 2'!H168</f>
        <v>0.7873783670475605</v>
      </c>
      <c r="X165" s="15">
        <f>'МРСК 2'!I168</f>
        <v>0</v>
      </c>
      <c r="Y165" s="48">
        <f>'МРСК 2'!J168</f>
        <v>2.625</v>
      </c>
      <c r="Z165" s="46">
        <f>'МРСК 2'!K168</f>
        <v>1.8376216329524395</v>
      </c>
      <c r="AA165" s="46" t="e">
        <f>'МРСК 2'!L168:L170</f>
        <v>#VALUE!</v>
      </c>
      <c r="AB165" s="34"/>
    </row>
    <row r="166" spans="1:28" ht="19.5">
      <c r="A166" s="14">
        <v>90</v>
      </c>
      <c r="B166" s="210" t="s">
        <v>151</v>
      </c>
      <c r="C166" s="47" t="str">
        <f>'МРСК 2'!C169</f>
        <v>6,3+6,3</v>
      </c>
      <c r="D166" s="47">
        <v>6464</v>
      </c>
      <c r="E166" s="47">
        <v>2896</v>
      </c>
      <c r="F166" s="105">
        <f t="shared" si="7"/>
        <v>7.083086332948371</v>
      </c>
      <c r="G166" s="46">
        <v>0.918</v>
      </c>
      <c r="H166" s="16">
        <v>120</v>
      </c>
      <c r="I166" s="46">
        <f t="shared" si="8"/>
        <v>6.165086332948371</v>
      </c>
      <c r="J166" s="15">
        <v>0</v>
      </c>
      <c r="K166" s="45">
        <v>6.615</v>
      </c>
      <c r="L166" s="105">
        <v>0.4499136670516295</v>
      </c>
      <c r="M166" s="46">
        <f t="shared" si="9"/>
        <v>0.4499136670516295</v>
      </c>
      <c r="N166" s="34"/>
      <c r="P166" s="14">
        <v>90</v>
      </c>
      <c r="Q166" s="210" t="s">
        <v>151</v>
      </c>
      <c r="R166" s="47" t="str">
        <f>'МРСК 2'!C169</f>
        <v>6,3+6,3</v>
      </c>
      <c r="S166" s="47">
        <f>'МРСК 2'!D169</f>
        <v>0.04</v>
      </c>
      <c r="T166" s="15">
        <f>'МРСК 2'!E169</f>
        <v>7.123086332948371</v>
      </c>
      <c r="U166" s="46">
        <f>'МРСК 2'!F169</f>
        <v>0.918</v>
      </c>
      <c r="V166" s="16">
        <f>'МРСК 2'!G169</f>
        <v>120</v>
      </c>
      <c r="W166" s="46">
        <f>'МРСК 2'!H169</f>
        <v>6.205086332948371</v>
      </c>
      <c r="X166" s="15">
        <f>'МРСК 2'!I169</f>
        <v>0</v>
      </c>
      <c r="Y166" s="48">
        <f>'МРСК 2'!J169</f>
        <v>6.615</v>
      </c>
      <c r="Z166" s="46">
        <f>'МРСК 2'!K169</f>
        <v>0.40991366705162946</v>
      </c>
      <c r="AA166" s="46" t="e">
        <f>'МРСК 2'!L169:L171</f>
        <v>#VALUE!</v>
      </c>
      <c r="AB166" s="34"/>
    </row>
    <row r="167" spans="1:28" ht="19.5">
      <c r="A167" s="14">
        <v>91</v>
      </c>
      <c r="B167" s="210" t="s">
        <v>152</v>
      </c>
      <c r="C167" s="47" t="str">
        <f>'МРСК 2'!C170</f>
        <v>2,5+1,6</v>
      </c>
      <c r="D167" s="47">
        <v>1208</v>
      </c>
      <c r="E167" s="47">
        <v>368</v>
      </c>
      <c r="F167" s="105">
        <f t="shared" si="7"/>
        <v>1.26280956600748</v>
      </c>
      <c r="G167" s="46">
        <v>0.522</v>
      </c>
      <c r="H167" s="16">
        <v>45</v>
      </c>
      <c r="I167" s="46">
        <f t="shared" si="8"/>
        <v>0.74080956600748</v>
      </c>
      <c r="J167" s="15">
        <v>0</v>
      </c>
      <c r="K167" s="45">
        <v>1.6800000000000002</v>
      </c>
      <c r="L167" s="105">
        <v>0.9391904339925201</v>
      </c>
      <c r="M167" s="46">
        <f t="shared" si="9"/>
        <v>0.9391904339925201</v>
      </c>
      <c r="N167" s="34"/>
      <c r="P167" s="14">
        <v>91</v>
      </c>
      <c r="Q167" s="210" t="s">
        <v>152</v>
      </c>
      <c r="R167" s="47" t="str">
        <f>'МРСК 2'!C170</f>
        <v>2,5+1,6</v>
      </c>
      <c r="S167" s="47">
        <f>'МРСК 2'!D170</f>
        <v>0.01</v>
      </c>
      <c r="T167" s="15">
        <f>'МРСК 2'!E170</f>
        <v>1.27280956600748</v>
      </c>
      <c r="U167" s="46">
        <f>'МРСК 2'!F170</f>
        <v>0.522</v>
      </c>
      <c r="V167" s="16">
        <f>'МРСК 2'!G170</f>
        <v>45</v>
      </c>
      <c r="W167" s="46">
        <f>'МРСК 2'!H170</f>
        <v>0.7508095660074801</v>
      </c>
      <c r="X167" s="15">
        <f>'МРСК 2'!I170</f>
        <v>0</v>
      </c>
      <c r="Y167" s="48">
        <f>'МРСК 2'!J170</f>
        <v>1.6800000000000002</v>
      </c>
      <c r="Z167" s="46">
        <f>'МРСК 2'!K170</f>
        <v>0.9291904339925201</v>
      </c>
      <c r="AA167" s="46" t="e">
        <f>'МРСК 2'!L170:L172</f>
        <v>#VALUE!</v>
      </c>
      <c r="AB167" s="34"/>
    </row>
    <row r="168" spans="1:28" ht="19.5">
      <c r="A168" s="14">
        <v>92</v>
      </c>
      <c r="B168" s="210" t="s">
        <v>153</v>
      </c>
      <c r="C168" s="47" t="str">
        <f>'МРСК 2'!C171</f>
        <v>4+4</v>
      </c>
      <c r="D168" s="47">
        <v>2544</v>
      </c>
      <c r="E168" s="47">
        <v>1200</v>
      </c>
      <c r="F168" s="105">
        <f t="shared" si="7"/>
        <v>2.8128163822048533</v>
      </c>
      <c r="G168" s="46">
        <v>1.45</v>
      </c>
      <c r="H168" s="16">
        <v>80</v>
      </c>
      <c r="I168" s="46">
        <f t="shared" si="8"/>
        <v>1.3628163822048533</v>
      </c>
      <c r="J168" s="15">
        <v>0</v>
      </c>
      <c r="K168" s="45">
        <v>4.2</v>
      </c>
      <c r="L168" s="105">
        <v>2.837183617795147</v>
      </c>
      <c r="M168" s="46">
        <f t="shared" si="9"/>
        <v>2.837183617795147</v>
      </c>
      <c r="N168" s="34"/>
      <c r="P168" s="14">
        <v>92</v>
      </c>
      <c r="Q168" s="210" t="s">
        <v>153</v>
      </c>
      <c r="R168" s="47" t="str">
        <f>'МРСК 2'!C171</f>
        <v>4+4</v>
      </c>
      <c r="S168" s="47">
        <f>'МРСК 2'!D171</f>
        <v>0.04</v>
      </c>
      <c r="T168" s="15">
        <f>'МРСК 2'!E171</f>
        <v>2.8528163822048533</v>
      </c>
      <c r="U168" s="46">
        <f>'МРСК 2'!F171</f>
        <v>1.45</v>
      </c>
      <c r="V168" s="16">
        <f>'МРСК 2'!G171</f>
        <v>80</v>
      </c>
      <c r="W168" s="46">
        <f>'МРСК 2'!H171</f>
        <v>1.4028163822048534</v>
      </c>
      <c r="X168" s="15">
        <f>'МРСК 2'!I171</f>
        <v>0</v>
      </c>
      <c r="Y168" s="48">
        <f>'МРСК 2'!J171</f>
        <v>4.2</v>
      </c>
      <c r="Z168" s="46">
        <f>'МРСК 2'!K171</f>
        <v>2.797183617795147</v>
      </c>
      <c r="AA168" s="46" t="e">
        <f>'МРСК 2'!L171:L173</f>
        <v>#VALUE!</v>
      </c>
      <c r="AB168" s="34"/>
    </row>
    <row r="169" spans="1:28" ht="19.5">
      <c r="A169" s="14">
        <v>93</v>
      </c>
      <c r="B169" s="210" t="s">
        <v>154</v>
      </c>
      <c r="C169" s="47" t="str">
        <f>'МРСК 2'!C172</f>
        <v>2,5+2,5</v>
      </c>
      <c r="D169" s="47">
        <v>1820</v>
      </c>
      <c r="E169" s="47">
        <v>844</v>
      </c>
      <c r="F169" s="105">
        <f t="shared" si="7"/>
        <v>2.0061744689831937</v>
      </c>
      <c r="G169" s="46">
        <v>1.0795494616358337</v>
      </c>
      <c r="H169" s="16">
        <v>120</v>
      </c>
      <c r="I169" s="46">
        <f t="shared" si="8"/>
        <v>0.9266250073473601</v>
      </c>
      <c r="J169" s="15">
        <v>0</v>
      </c>
      <c r="K169" s="45">
        <v>2.625</v>
      </c>
      <c r="L169" s="105">
        <v>1.69837499265264</v>
      </c>
      <c r="M169" s="46">
        <f t="shared" si="9"/>
        <v>1.69837499265264</v>
      </c>
      <c r="N169" s="34"/>
      <c r="P169" s="14">
        <v>93</v>
      </c>
      <c r="Q169" s="210" t="s">
        <v>154</v>
      </c>
      <c r="R169" s="47" t="str">
        <f>'МРСК 2'!C172</f>
        <v>2,5+2,5</v>
      </c>
      <c r="S169" s="47">
        <f>'МРСК 2'!D172</f>
        <v>0.1219</v>
      </c>
      <c r="T169" s="15">
        <f>'МРСК 2'!E172</f>
        <v>2.128074468983194</v>
      </c>
      <c r="U169" s="46">
        <f>'МРСК 2'!F172</f>
        <v>1.0795494616358337</v>
      </c>
      <c r="V169" s="16">
        <f>'МРСК 2'!G172</f>
        <v>120</v>
      </c>
      <c r="W169" s="46">
        <f>'МРСК 2'!H172</f>
        <v>1.0485250073473602</v>
      </c>
      <c r="X169" s="15">
        <f>'МРСК 2'!I172</f>
        <v>0</v>
      </c>
      <c r="Y169" s="48">
        <f>'МРСК 2'!J172</f>
        <v>2.625</v>
      </c>
      <c r="Z169" s="46">
        <f>'МРСК 2'!K172</f>
        <v>1.5764749926526398</v>
      </c>
      <c r="AA169" s="46" t="e">
        <f>'МРСК 2'!L172:L174</f>
        <v>#VALUE!</v>
      </c>
      <c r="AB169" s="34"/>
    </row>
    <row r="170" spans="1:28" ht="19.5">
      <c r="A170" s="14">
        <v>94</v>
      </c>
      <c r="B170" s="210" t="s">
        <v>155</v>
      </c>
      <c r="C170" s="47" t="str">
        <f>'МРСК 2'!C173</f>
        <v>2,5+2,5</v>
      </c>
      <c r="D170" s="47">
        <v>1056</v>
      </c>
      <c r="E170" s="47">
        <v>324</v>
      </c>
      <c r="F170" s="105">
        <f t="shared" si="7"/>
        <v>1.1045868005729562</v>
      </c>
      <c r="G170" s="46">
        <v>0.4</v>
      </c>
      <c r="H170" s="16">
        <v>120</v>
      </c>
      <c r="I170" s="46">
        <f t="shared" si="8"/>
        <v>0.7045868005729562</v>
      </c>
      <c r="J170" s="15">
        <v>0</v>
      </c>
      <c r="K170" s="45">
        <v>2.625</v>
      </c>
      <c r="L170" s="105">
        <v>1.9204131994270437</v>
      </c>
      <c r="M170" s="46">
        <f t="shared" si="9"/>
        <v>1.9204131994270437</v>
      </c>
      <c r="N170" s="34"/>
      <c r="P170" s="14">
        <v>94</v>
      </c>
      <c r="Q170" s="210" t="s">
        <v>155</v>
      </c>
      <c r="R170" s="47" t="str">
        <f>'МРСК 2'!C173</f>
        <v>2,5+2,5</v>
      </c>
      <c r="S170" s="47">
        <f>'МРСК 2'!D173</f>
        <v>0.53</v>
      </c>
      <c r="T170" s="15">
        <f>'МРСК 2'!E173</f>
        <v>1.6345868005729562</v>
      </c>
      <c r="U170" s="46">
        <f>'МРСК 2'!F173</f>
        <v>0.4</v>
      </c>
      <c r="V170" s="16">
        <f>'МРСК 2'!G173</f>
        <v>120</v>
      </c>
      <c r="W170" s="46">
        <f>'МРСК 2'!H173</f>
        <v>1.2345868005729561</v>
      </c>
      <c r="X170" s="15">
        <f>'МРСК 2'!I173</f>
        <v>0</v>
      </c>
      <c r="Y170" s="48">
        <f>'МРСК 2'!J173</f>
        <v>2.625</v>
      </c>
      <c r="Z170" s="46">
        <f>'МРСК 2'!K173</f>
        <v>1.3904131994270439</v>
      </c>
      <c r="AA170" s="46" t="e">
        <f>'МРСК 2'!L173:L175</f>
        <v>#VALUE!</v>
      </c>
      <c r="AB170" s="34"/>
    </row>
    <row r="171" spans="1:28" ht="19.5">
      <c r="A171" s="14">
        <v>95</v>
      </c>
      <c r="B171" s="210" t="s">
        <v>156</v>
      </c>
      <c r="C171" s="47" t="str">
        <f>'МРСК 2'!C174</f>
        <v>2,5+4</v>
      </c>
      <c r="D171" s="47">
        <v>1448</v>
      </c>
      <c r="E171" s="47">
        <v>640</v>
      </c>
      <c r="F171" s="105">
        <f t="shared" si="7"/>
        <v>1.5831310748008203</v>
      </c>
      <c r="G171" s="46">
        <v>1.0176542711224374</v>
      </c>
      <c r="H171" s="16">
        <v>45</v>
      </c>
      <c r="I171" s="46">
        <f t="shared" si="8"/>
        <v>0.5654768036783828</v>
      </c>
      <c r="J171" s="15">
        <v>0</v>
      </c>
      <c r="K171" s="45">
        <v>2.625</v>
      </c>
      <c r="L171" s="105">
        <v>2.059523196321617</v>
      </c>
      <c r="M171" s="46">
        <f t="shared" si="9"/>
        <v>2.059523196321617</v>
      </c>
      <c r="N171" s="34"/>
      <c r="P171" s="14">
        <v>95</v>
      </c>
      <c r="Q171" s="210" t="s">
        <v>156</v>
      </c>
      <c r="R171" s="47" t="str">
        <f>'МРСК 2'!C174</f>
        <v>2,5+4</v>
      </c>
      <c r="S171" s="47">
        <f>'МРСК 2'!D174</f>
        <v>0</v>
      </c>
      <c r="T171" s="15">
        <f>'МРСК 2'!E174</f>
        <v>1.5831310748008203</v>
      </c>
      <c r="U171" s="46">
        <f>'МРСК 2'!F174</f>
        <v>1.0176542711224374</v>
      </c>
      <c r="V171" s="16">
        <f>'МРСК 2'!G174</f>
        <v>45</v>
      </c>
      <c r="W171" s="46">
        <f>'МРСК 2'!H174</f>
        <v>0.5654768036783828</v>
      </c>
      <c r="X171" s="15">
        <f>'МРСК 2'!I174</f>
        <v>0</v>
      </c>
      <c r="Y171" s="48">
        <f>'МРСК 2'!J174</f>
        <v>2.625</v>
      </c>
      <c r="Z171" s="46">
        <f>'МРСК 2'!K174</f>
        <v>2.059523196321617</v>
      </c>
      <c r="AA171" s="46" t="e">
        <f>'МРСК 2'!L174:L176</f>
        <v>#VALUE!</v>
      </c>
      <c r="AB171" s="34"/>
    </row>
    <row r="172" spans="1:28" ht="19.5">
      <c r="A172" s="14">
        <v>96</v>
      </c>
      <c r="B172" s="210" t="s">
        <v>157</v>
      </c>
      <c r="C172" s="47" t="str">
        <f>'МРСК 2'!C175</f>
        <v>2,5+4</v>
      </c>
      <c r="D172" s="47">
        <v>1328</v>
      </c>
      <c r="E172" s="47">
        <v>456</v>
      </c>
      <c r="F172" s="105">
        <f t="shared" si="7"/>
        <v>1.4041082579345512</v>
      </c>
      <c r="G172" s="46">
        <v>0.9553554312401222</v>
      </c>
      <c r="H172" s="16">
        <v>120</v>
      </c>
      <c r="I172" s="46">
        <f t="shared" si="8"/>
        <v>0.44875282669442895</v>
      </c>
      <c r="J172" s="15">
        <v>0</v>
      </c>
      <c r="K172" s="45">
        <v>2.625</v>
      </c>
      <c r="L172" s="105">
        <v>2.176247173305571</v>
      </c>
      <c r="M172" s="46">
        <f t="shared" si="9"/>
        <v>2.176247173305571</v>
      </c>
      <c r="N172" s="34"/>
      <c r="P172" s="14">
        <v>96</v>
      </c>
      <c r="Q172" s="210" t="s">
        <v>157</v>
      </c>
      <c r="R172" s="47" t="str">
        <f>'МРСК 2'!C175</f>
        <v>2,5+4</v>
      </c>
      <c r="S172" s="47">
        <f>'МРСК 2'!D175</f>
        <v>0.01</v>
      </c>
      <c r="T172" s="15">
        <f>'МРСК 2'!E175</f>
        <v>1.4141082579345512</v>
      </c>
      <c r="U172" s="46">
        <f>'МРСК 2'!F175</f>
        <v>0.9553554312401222</v>
      </c>
      <c r="V172" s="16">
        <f>'МРСК 2'!G175</f>
        <v>120</v>
      </c>
      <c r="W172" s="46">
        <f>'МРСК 2'!H175</f>
        <v>0.45875282669442896</v>
      </c>
      <c r="X172" s="15">
        <f>'МРСК 2'!I175</f>
        <v>0</v>
      </c>
      <c r="Y172" s="48">
        <f>'МРСК 2'!J175</f>
        <v>2.625</v>
      </c>
      <c r="Z172" s="46">
        <f>'МРСК 2'!K175</f>
        <v>2.166247173305571</v>
      </c>
      <c r="AA172" s="46" t="e">
        <f>'МРСК 2'!L175:L177</f>
        <v>#VALUE!</v>
      </c>
      <c r="AB172" s="34"/>
    </row>
    <row r="173" spans="1:28" ht="19.5">
      <c r="A173" s="14">
        <v>97</v>
      </c>
      <c r="B173" s="210" t="s">
        <v>158</v>
      </c>
      <c r="C173" s="47" t="str">
        <f>'МРСК 2'!C176</f>
        <v>4+4</v>
      </c>
      <c r="D173" s="47">
        <v>2616</v>
      </c>
      <c r="E173" s="47">
        <v>756</v>
      </c>
      <c r="F173" s="105">
        <f t="shared" si="7"/>
        <v>2.723048291896418</v>
      </c>
      <c r="G173" s="46">
        <v>0.616</v>
      </c>
      <c r="H173" s="16">
        <v>80</v>
      </c>
      <c r="I173" s="46">
        <f t="shared" si="8"/>
        <v>2.107048291896418</v>
      </c>
      <c r="J173" s="15">
        <v>0</v>
      </c>
      <c r="K173" s="45">
        <v>4.2</v>
      </c>
      <c r="L173" s="105">
        <v>2.092951708103582</v>
      </c>
      <c r="M173" s="46">
        <f t="shared" si="9"/>
        <v>2.092951708103582</v>
      </c>
      <c r="N173" s="34"/>
      <c r="P173" s="14">
        <v>97</v>
      </c>
      <c r="Q173" s="210" t="s">
        <v>158</v>
      </c>
      <c r="R173" s="47" t="str">
        <f>'МРСК 2'!C176</f>
        <v>4+4</v>
      </c>
      <c r="S173" s="47">
        <f>'МРСК 2'!D176</f>
        <v>0</v>
      </c>
      <c r="T173" s="15">
        <f>'МРСК 2'!E176</f>
        <v>2.723048291896418</v>
      </c>
      <c r="U173" s="46">
        <f>'МРСК 2'!F176</f>
        <v>0.616</v>
      </c>
      <c r="V173" s="16">
        <f>'МРСК 2'!G176</f>
        <v>80</v>
      </c>
      <c r="W173" s="46">
        <f>'МРСК 2'!H176</f>
        <v>2.107048291896418</v>
      </c>
      <c r="X173" s="15">
        <f>'МРСК 2'!I176</f>
        <v>0</v>
      </c>
      <c r="Y173" s="48">
        <f>'МРСК 2'!J176</f>
        <v>4.2</v>
      </c>
      <c r="Z173" s="46">
        <f>'МРСК 2'!K176</f>
        <v>2.092951708103582</v>
      </c>
      <c r="AA173" s="46" t="e">
        <f>'МРСК 2'!L176:L178</f>
        <v>#VALUE!</v>
      </c>
      <c r="AB173" s="34"/>
    </row>
    <row r="174" spans="1:28" ht="19.5">
      <c r="A174" s="14">
        <v>98</v>
      </c>
      <c r="B174" s="210" t="s">
        <v>159</v>
      </c>
      <c r="C174" s="47" t="str">
        <f>'МРСК 2'!C177</f>
        <v>4+4</v>
      </c>
      <c r="D174" s="47">
        <v>645</v>
      </c>
      <c r="E174" s="47">
        <v>391</v>
      </c>
      <c r="F174" s="105">
        <f t="shared" si="7"/>
        <v>0.7542585763516382</v>
      </c>
      <c r="G174" s="46">
        <v>0</v>
      </c>
      <c r="H174" s="16"/>
      <c r="I174" s="46">
        <f t="shared" si="8"/>
        <v>0.7542585763516382</v>
      </c>
      <c r="J174" s="15">
        <v>0</v>
      </c>
      <c r="K174" s="45">
        <v>4.2</v>
      </c>
      <c r="L174" s="105">
        <v>3.445741423648362</v>
      </c>
      <c r="M174" s="46">
        <f t="shared" si="9"/>
        <v>3.445741423648362</v>
      </c>
      <c r="N174" s="34"/>
      <c r="P174" s="14">
        <v>98</v>
      </c>
      <c r="Q174" s="210" t="s">
        <v>159</v>
      </c>
      <c r="R174" s="47" t="str">
        <f>'МРСК 2'!C177</f>
        <v>4+4</v>
      </c>
      <c r="S174" s="47">
        <f>'МРСК 2'!D177</f>
        <v>0</v>
      </c>
      <c r="T174" s="15">
        <f>'МРСК 2'!E177</f>
        <v>0.7542585763516382</v>
      </c>
      <c r="U174" s="46">
        <f>'МРСК 2'!F177</f>
        <v>0</v>
      </c>
      <c r="V174" s="16">
        <f>'МРСК 2'!G177</f>
        <v>0</v>
      </c>
      <c r="W174" s="46">
        <f>'МРСК 2'!H177</f>
        <v>0.7542585763516382</v>
      </c>
      <c r="X174" s="15">
        <f>'МРСК 2'!I177</f>
        <v>0</v>
      </c>
      <c r="Y174" s="48">
        <f>'МРСК 2'!J177</f>
        <v>4.2</v>
      </c>
      <c r="Z174" s="46">
        <f>'МРСК 2'!K177</f>
        <v>3.445741423648362</v>
      </c>
      <c r="AA174" s="46" t="e">
        <f>'МРСК 2'!L177:L179</f>
        <v>#VALUE!</v>
      </c>
      <c r="AB174" s="34"/>
    </row>
    <row r="175" spans="1:28" ht="19.5">
      <c r="A175" s="14">
        <v>99</v>
      </c>
      <c r="B175" s="210" t="s">
        <v>160</v>
      </c>
      <c r="C175" s="47" t="str">
        <f>'МРСК 2'!C178</f>
        <v>4+6,3</v>
      </c>
      <c r="D175" s="47">
        <v>2136</v>
      </c>
      <c r="E175" s="47">
        <v>420</v>
      </c>
      <c r="F175" s="105">
        <f t="shared" si="7"/>
        <v>2.1769005489456794</v>
      </c>
      <c r="G175" s="46">
        <v>0.305</v>
      </c>
      <c r="H175" s="16">
        <v>45</v>
      </c>
      <c r="I175" s="46">
        <f t="shared" si="8"/>
        <v>1.8719005489456795</v>
      </c>
      <c r="J175" s="15">
        <v>0</v>
      </c>
      <c r="K175" s="45">
        <v>4.2</v>
      </c>
      <c r="L175" s="105">
        <v>2.328099451054321</v>
      </c>
      <c r="M175" s="46">
        <f t="shared" si="9"/>
        <v>2.328099451054321</v>
      </c>
      <c r="N175" s="34"/>
      <c r="P175" s="14">
        <v>99</v>
      </c>
      <c r="Q175" s="210" t="s">
        <v>160</v>
      </c>
      <c r="R175" s="47" t="str">
        <f>'МРСК 2'!C178</f>
        <v>4+6,3</v>
      </c>
      <c r="S175" s="47">
        <f>'МРСК 2'!D178</f>
        <v>0</v>
      </c>
      <c r="T175" s="15">
        <f>'МРСК 2'!E178</f>
        <v>2.1769005489456794</v>
      </c>
      <c r="U175" s="46">
        <f>'МРСК 2'!F178</f>
        <v>0.305</v>
      </c>
      <c r="V175" s="16">
        <f>'МРСК 2'!G178</f>
        <v>45</v>
      </c>
      <c r="W175" s="46">
        <f>'МРСК 2'!H178</f>
        <v>1.8719005489456795</v>
      </c>
      <c r="X175" s="15">
        <f>'МРСК 2'!I178</f>
        <v>0</v>
      </c>
      <c r="Y175" s="48">
        <f>'МРСК 2'!J178</f>
        <v>4.2</v>
      </c>
      <c r="Z175" s="46">
        <f>'МРСК 2'!K178</f>
        <v>2.328099451054321</v>
      </c>
      <c r="AA175" s="46" t="e">
        <f>'МРСК 2'!L178:L180</f>
        <v>#VALUE!</v>
      </c>
      <c r="AB175" s="34"/>
    </row>
    <row r="176" spans="1:28" ht="19.5">
      <c r="A176" s="14">
        <v>100</v>
      </c>
      <c r="B176" s="210" t="s">
        <v>161</v>
      </c>
      <c r="C176" s="47" t="str">
        <f>'МРСК 2'!C179</f>
        <v>6,3+6,3</v>
      </c>
      <c r="D176" s="47">
        <v>4320</v>
      </c>
      <c r="E176" s="47">
        <v>1469</v>
      </c>
      <c r="F176" s="105">
        <f t="shared" si="7"/>
        <v>4.562933376677771</v>
      </c>
      <c r="G176" s="46">
        <v>1.43</v>
      </c>
      <c r="H176" s="16">
        <v>120</v>
      </c>
      <c r="I176" s="46">
        <f t="shared" si="8"/>
        <v>3.132933376677771</v>
      </c>
      <c r="J176" s="15">
        <v>0</v>
      </c>
      <c r="K176" s="45">
        <v>6.615</v>
      </c>
      <c r="L176" s="105">
        <v>3.482066623322229</v>
      </c>
      <c r="M176" s="46">
        <f t="shared" si="9"/>
        <v>3.482066623322229</v>
      </c>
      <c r="N176" s="34"/>
      <c r="P176" s="14">
        <v>100</v>
      </c>
      <c r="Q176" s="210" t="s">
        <v>161</v>
      </c>
      <c r="R176" s="47" t="str">
        <f>'МРСК 2'!C179</f>
        <v>6,3+6,3</v>
      </c>
      <c r="S176" s="47">
        <f>'МРСК 2'!D179</f>
        <v>0.027</v>
      </c>
      <c r="T176" s="15">
        <f>'МРСК 2'!E179</f>
        <v>4.589933376677771</v>
      </c>
      <c r="U176" s="46">
        <f>'МРСК 2'!F179</f>
        <v>1.43</v>
      </c>
      <c r="V176" s="16">
        <f>'МРСК 2'!G179</f>
        <v>120</v>
      </c>
      <c r="W176" s="46">
        <f>'МРСК 2'!H179</f>
        <v>3.1599333766777713</v>
      </c>
      <c r="X176" s="15">
        <f>'МРСК 2'!I179</f>
        <v>0</v>
      </c>
      <c r="Y176" s="48">
        <f>'МРСК 2'!J179</f>
        <v>6.615</v>
      </c>
      <c r="Z176" s="46">
        <f>'МРСК 2'!K179</f>
        <v>3.455066623322229</v>
      </c>
      <c r="AA176" s="46" t="e">
        <f>'МРСК 2'!L179:L181</f>
        <v>#VALUE!</v>
      </c>
      <c r="AB176" s="34"/>
    </row>
    <row r="177" spans="1:28" ht="19.5">
      <c r="A177" s="14">
        <v>101</v>
      </c>
      <c r="B177" s="210" t="s">
        <v>162</v>
      </c>
      <c r="C177" s="47" t="str">
        <f>'МРСК 2'!C180</f>
        <v>2,5+2,5</v>
      </c>
      <c r="D177" s="47">
        <v>1926</v>
      </c>
      <c r="E177" s="47">
        <v>774</v>
      </c>
      <c r="F177" s="105">
        <f aca="true" t="shared" si="10" ref="F177:F240">SQRT(D177*D177+E177*E177)/1000</f>
        <v>2.0757051813781264</v>
      </c>
      <c r="G177" s="46">
        <v>0.995132152028061</v>
      </c>
      <c r="H177" s="16">
        <v>120</v>
      </c>
      <c r="I177" s="46">
        <f t="shared" si="8"/>
        <v>1.0805730293500653</v>
      </c>
      <c r="J177" s="15">
        <v>0</v>
      </c>
      <c r="K177" s="45">
        <v>2.625</v>
      </c>
      <c r="L177" s="105">
        <v>1.5444269706499347</v>
      </c>
      <c r="M177" s="46">
        <f t="shared" si="9"/>
        <v>1.5444269706499347</v>
      </c>
      <c r="N177" s="34"/>
      <c r="P177" s="14">
        <v>101</v>
      </c>
      <c r="Q177" s="210" t="s">
        <v>162</v>
      </c>
      <c r="R177" s="47" t="str">
        <f>'МРСК 2'!C180</f>
        <v>2,5+2,5</v>
      </c>
      <c r="S177" s="47">
        <f>'МРСК 2'!D180</f>
        <v>0.026</v>
      </c>
      <c r="T177" s="15">
        <f>'МРСК 2'!E180</f>
        <v>2.1017051813781262</v>
      </c>
      <c r="U177" s="46">
        <f>'МРСК 2'!F180</f>
        <v>0.995132152028061</v>
      </c>
      <c r="V177" s="16">
        <f>'МРСК 2'!G180</f>
        <v>120</v>
      </c>
      <c r="W177" s="46">
        <f>'МРСК 2'!H180</f>
        <v>1.106573029350065</v>
      </c>
      <c r="X177" s="15">
        <f>'МРСК 2'!I180</f>
        <v>0</v>
      </c>
      <c r="Y177" s="48">
        <f>'МРСК 2'!J180</f>
        <v>2.625</v>
      </c>
      <c r="Z177" s="46">
        <f>'МРСК 2'!K180</f>
        <v>1.518426970649935</v>
      </c>
      <c r="AA177" s="46" t="e">
        <f>'МРСК 2'!L180:L182</f>
        <v>#VALUE!</v>
      </c>
      <c r="AB177" s="34"/>
    </row>
    <row r="178" spans="1:28" ht="19.5">
      <c r="A178" s="14">
        <v>102</v>
      </c>
      <c r="B178" s="210" t="s">
        <v>163</v>
      </c>
      <c r="C178" s="47" t="str">
        <f>'МРСК 2'!C181</f>
        <v>6,3+6,3</v>
      </c>
      <c r="D178" s="47">
        <v>2432</v>
      </c>
      <c r="E178" s="47">
        <v>1600</v>
      </c>
      <c r="F178" s="105">
        <f t="shared" si="10"/>
        <v>2.911120746379305</v>
      </c>
      <c r="G178" s="46">
        <v>1.4036067580251326</v>
      </c>
      <c r="H178" s="16">
        <v>80</v>
      </c>
      <c r="I178" s="46">
        <f aca="true" t="shared" si="11" ref="I178:I241">F178-G178</f>
        <v>1.5075139883541724</v>
      </c>
      <c r="J178" s="15">
        <v>0</v>
      </c>
      <c r="K178" s="45">
        <v>6.615</v>
      </c>
      <c r="L178" s="105">
        <v>5.107486011645828</v>
      </c>
      <c r="M178" s="46">
        <f t="shared" si="9"/>
        <v>5.107486011645828</v>
      </c>
      <c r="N178" s="34"/>
      <c r="P178" s="14">
        <v>102</v>
      </c>
      <c r="Q178" s="210" t="s">
        <v>163</v>
      </c>
      <c r="R178" s="47" t="str">
        <f>'МРСК 2'!C181</f>
        <v>6,3+6,3</v>
      </c>
      <c r="S178" s="47">
        <f>'МРСК 2'!D181</f>
        <v>0</v>
      </c>
      <c r="T178" s="15">
        <f>'МРСК 2'!E181</f>
        <v>2.911120746379305</v>
      </c>
      <c r="U178" s="46">
        <f>'МРСК 2'!F181</f>
        <v>1.4036067580251326</v>
      </c>
      <c r="V178" s="16">
        <f>'МРСК 2'!G181</f>
        <v>80</v>
      </c>
      <c r="W178" s="46">
        <f>'МРСК 2'!H181</f>
        <v>1.5075139883541724</v>
      </c>
      <c r="X178" s="15">
        <f>'МРСК 2'!I181</f>
        <v>0</v>
      </c>
      <c r="Y178" s="48">
        <f>'МРСК 2'!J181</f>
        <v>6.615</v>
      </c>
      <c r="Z178" s="46">
        <f>'МРСК 2'!K181</f>
        <v>5.107486011645828</v>
      </c>
      <c r="AA178" s="46" t="e">
        <f>'МРСК 2'!L181:L183</f>
        <v>#VALUE!</v>
      </c>
      <c r="AB178" s="34"/>
    </row>
    <row r="179" spans="1:28" ht="19.5">
      <c r="A179" s="14">
        <v>103</v>
      </c>
      <c r="B179" s="210" t="s">
        <v>164</v>
      </c>
      <c r="C179" s="47" t="str">
        <f>'МРСК 2'!C182</f>
        <v>2,5+2,5</v>
      </c>
      <c r="D179" s="47">
        <v>2688</v>
      </c>
      <c r="E179" s="47">
        <v>996</v>
      </c>
      <c r="F179" s="105">
        <f t="shared" si="10"/>
        <v>2.866593797523465</v>
      </c>
      <c r="G179" s="46">
        <v>0.617</v>
      </c>
      <c r="H179" s="16">
        <v>45</v>
      </c>
      <c r="I179" s="46">
        <f t="shared" si="11"/>
        <v>2.249593797523465</v>
      </c>
      <c r="J179" s="15">
        <v>0</v>
      </c>
      <c r="K179" s="45">
        <v>2.625</v>
      </c>
      <c r="L179" s="105">
        <v>0.375406202476535</v>
      </c>
      <c r="M179" s="46">
        <f t="shared" si="9"/>
        <v>0.375406202476535</v>
      </c>
      <c r="N179" s="34"/>
      <c r="P179" s="14">
        <v>103</v>
      </c>
      <c r="Q179" s="210" t="s">
        <v>164</v>
      </c>
      <c r="R179" s="47" t="str">
        <f>'МРСК 2'!C182</f>
        <v>2,5+2,5</v>
      </c>
      <c r="S179" s="47">
        <f>'МРСК 2'!D182</f>
        <v>0.037</v>
      </c>
      <c r="T179" s="15">
        <f>'МРСК 2'!E182</f>
        <v>2.903593797523465</v>
      </c>
      <c r="U179" s="46">
        <f>'МРСК 2'!F182</f>
        <v>0.617</v>
      </c>
      <c r="V179" s="16">
        <f>'МРСК 2'!G182</f>
        <v>45</v>
      </c>
      <c r="W179" s="46">
        <f>'МРСК 2'!H182</f>
        <v>2.286593797523465</v>
      </c>
      <c r="X179" s="15">
        <f>'МРСК 2'!I182</f>
        <v>0</v>
      </c>
      <c r="Y179" s="48">
        <f>'МРСК 2'!J182</f>
        <v>2.625</v>
      </c>
      <c r="Z179" s="46">
        <f>'МРСК 2'!K182</f>
        <v>0.3384062024765351</v>
      </c>
      <c r="AA179" s="46" t="e">
        <f>'МРСК 2'!L182:L184</f>
        <v>#VALUE!</v>
      </c>
      <c r="AB179" s="34"/>
    </row>
    <row r="180" spans="1:28" ht="19.5">
      <c r="A180" s="14">
        <v>104</v>
      </c>
      <c r="B180" s="210" t="s">
        <v>165</v>
      </c>
      <c r="C180" s="47" t="str">
        <f>'МРСК 2'!C183</f>
        <v>2,5+4</v>
      </c>
      <c r="D180" s="47">
        <v>1504</v>
      </c>
      <c r="E180" s="47">
        <v>516</v>
      </c>
      <c r="F180" s="105">
        <f t="shared" si="10"/>
        <v>1.5900540871303717</v>
      </c>
      <c r="G180" s="46">
        <v>0.9084995371305657</v>
      </c>
      <c r="H180" s="16">
        <v>45</v>
      </c>
      <c r="I180" s="46">
        <f t="shared" si="11"/>
        <v>0.6815545499998059</v>
      </c>
      <c r="J180" s="15">
        <v>0</v>
      </c>
      <c r="K180" s="45">
        <v>2.625</v>
      </c>
      <c r="L180" s="105">
        <v>1.943445450000194</v>
      </c>
      <c r="M180" s="46">
        <f t="shared" si="9"/>
        <v>1.943445450000194</v>
      </c>
      <c r="N180" s="34"/>
      <c r="P180" s="14">
        <v>104</v>
      </c>
      <c r="Q180" s="210" t="s">
        <v>165</v>
      </c>
      <c r="R180" s="47" t="str">
        <f>'МРСК 2'!C183</f>
        <v>2,5+4</v>
      </c>
      <c r="S180" s="47">
        <f>'МРСК 2'!D183</f>
        <v>0</v>
      </c>
      <c r="T180" s="15">
        <f>'МРСК 2'!E183</f>
        <v>1.5900540871303717</v>
      </c>
      <c r="U180" s="46">
        <f>'МРСК 2'!F183</f>
        <v>0.9084995371305657</v>
      </c>
      <c r="V180" s="16">
        <f>'МРСК 2'!G183</f>
        <v>45</v>
      </c>
      <c r="W180" s="46">
        <f>'МРСК 2'!H183</f>
        <v>0.6815545499998059</v>
      </c>
      <c r="X180" s="15">
        <f>'МРСК 2'!I183</f>
        <v>0</v>
      </c>
      <c r="Y180" s="48">
        <f>'МРСК 2'!J183</f>
        <v>2.625</v>
      </c>
      <c r="Z180" s="46">
        <f>'МРСК 2'!K183</f>
        <v>1.943445450000194</v>
      </c>
      <c r="AA180" s="46" t="e">
        <f>'МРСК 2'!L183:L185</f>
        <v>#VALUE!</v>
      </c>
      <c r="AB180" s="34"/>
    </row>
    <row r="181" spans="1:28" ht="19.5">
      <c r="A181" s="14">
        <v>105</v>
      </c>
      <c r="B181" s="210" t="s">
        <v>166</v>
      </c>
      <c r="C181" s="47" t="str">
        <f>'МРСК 2'!C184</f>
        <v>4+4</v>
      </c>
      <c r="D181" s="47">
        <v>3232</v>
      </c>
      <c r="E181" s="47">
        <v>1600</v>
      </c>
      <c r="F181" s="105">
        <f t="shared" si="10"/>
        <v>3.6063588285138795</v>
      </c>
      <c r="G181" s="46">
        <v>0</v>
      </c>
      <c r="H181" s="16"/>
      <c r="I181" s="46">
        <f t="shared" si="11"/>
        <v>3.6063588285138795</v>
      </c>
      <c r="J181" s="15">
        <v>0</v>
      </c>
      <c r="K181" s="45">
        <v>4.2</v>
      </c>
      <c r="L181" s="105">
        <v>0.5936411714861207</v>
      </c>
      <c r="M181" s="46">
        <f t="shared" si="9"/>
        <v>0.5936411714861207</v>
      </c>
      <c r="N181" s="34"/>
      <c r="P181" s="14">
        <v>105</v>
      </c>
      <c r="Q181" s="210" t="s">
        <v>166</v>
      </c>
      <c r="R181" s="47" t="str">
        <f>'МРСК 2'!C184</f>
        <v>4+4</v>
      </c>
      <c r="S181" s="47">
        <f>'МРСК 2'!D184</f>
        <v>0.025</v>
      </c>
      <c r="T181" s="15">
        <f>'МРСК 2'!E184</f>
        <v>3.6313588285138794</v>
      </c>
      <c r="U181" s="46">
        <f>'МРСК 2'!F184</f>
        <v>0</v>
      </c>
      <c r="V181" s="16">
        <f>'МРСК 2'!G184</f>
        <v>0</v>
      </c>
      <c r="W181" s="46">
        <f>'МРСК 2'!H184</f>
        <v>3.6313588285138794</v>
      </c>
      <c r="X181" s="15">
        <f>'МРСК 2'!I184</f>
        <v>0</v>
      </c>
      <c r="Y181" s="48">
        <f>'МРСК 2'!J184</f>
        <v>4.2</v>
      </c>
      <c r="Z181" s="46">
        <f>'МРСК 2'!K184</f>
        <v>0.5686411714861208</v>
      </c>
      <c r="AA181" s="46" t="e">
        <f>'МРСК 2'!L184:L186</f>
        <v>#VALUE!</v>
      </c>
      <c r="AB181" s="34"/>
    </row>
    <row r="182" spans="1:28" ht="19.5">
      <c r="A182" s="14">
        <v>106</v>
      </c>
      <c r="B182" s="210" t="s">
        <v>167</v>
      </c>
      <c r="C182" s="47" t="str">
        <f>'МРСК 2'!C185</f>
        <v>4+4</v>
      </c>
      <c r="D182" s="47">
        <v>1200</v>
      </c>
      <c r="E182" s="47">
        <v>528</v>
      </c>
      <c r="F182" s="105">
        <f t="shared" si="10"/>
        <v>1.3110240272397757</v>
      </c>
      <c r="G182" s="46">
        <v>0.7823699242213712</v>
      </c>
      <c r="H182" s="16">
        <v>80</v>
      </c>
      <c r="I182" s="46">
        <f t="shared" si="11"/>
        <v>0.5286541030184045</v>
      </c>
      <c r="J182" s="15">
        <v>0</v>
      </c>
      <c r="K182" s="45">
        <v>4.2</v>
      </c>
      <c r="L182" s="105">
        <v>3.6713458969815957</v>
      </c>
      <c r="M182" s="46">
        <f t="shared" si="9"/>
        <v>3.6713458969815957</v>
      </c>
      <c r="N182" s="34"/>
      <c r="P182" s="14">
        <v>106</v>
      </c>
      <c r="Q182" s="210" t="s">
        <v>167</v>
      </c>
      <c r="R182" s="47" t="str">
        <f>'МРСК 2'!C185</f>
        <v>4+4</v>
      </c>
      <c r="S182" s="47">
        <f>'МРСК 2'!D185</f>
        <v>0.4</v>
      </c>
      <c r="T182" s="15">
        <f>'МРСК 2'!E185</f>
        <v>1.7110240272397759</v>
      </c>
      <c r="U182" s="46">
        <f>'МРСК 2'!F185</f>
        <v>0.7823699242213712</v>
      </c>
      <c r="V182" s="16">
        <f>'МРСК 2'!G185</f>
        <v>80</v>
      </c>
      <c r="W182" s="46">
        <f>'МРСК 2'!H185</f>
        <v>0.9286541030184047</v>
      </c>
      <c r="X182" s="15">
        <f>'МРСК 2'!I185</f>
        <v>0</v>
      </c>
      <c r="Y182" s="48">
        <f>'МРСК 2'!J185</f>
        <v>4.2</v>
      </c>
      <c r="Z182" s="46">
        <f>'МРСК 2'!K185</f>
        <v>3.2713458969815954</v>
      </c>
      <c r="AA182" s="46" t="e">
        <f>'МРСК 2'!L185:L187</f>
        <v>#VALUE!</v>
      </c>
      <c r="AB182" s="34"/>
    </row>
    <row r="183" spans="1:28" ht="19.5">
      <c r="A183" s="14">
        <v>107</v>
      </c>
      <c r="B183" s="210" t="s">
        <v>168</v>
      </c>
      <c r="C183" s="47" t="str">
        <f>'МРСК 2'!C186</f>
        <v>4+4</v>
      </c>
      <c r="D183" s="47">
        <v>2600</v>
      </c>
      <c r="E183" s="47">
        <v>936</v>
      </c>
      <c r="F183" s="105">
        <f t="shared" si="10"/>
        <v>2.763348693161976</v>
      </c>
      <c r="G183" s="46">
        <v>1.054</v>
      </c>
      <c r="H183" s="16">
        <v>45</v>
      </c>
      <c r="I183" s="46">
        <f t="shared" si="11"/>
        <v>1.709348693161976</v>
      </c>
      <c r="J183" s="15">
        <v>0</v>
      </c>
      <c r="K183" s="45">
        <v>4.2</v>
      </c>
      <c r="L183" s="105">
        <v>2.490651306838024</v>
      </c>
      <c r="M183" s="46">
        <f t="shared" si="9"/>
        <v>2.490651306838024</v>
      </c>
      <c r="N183" s="34"/>
      <c r="P183" s="14">
        <v>107</v>
      </c>
      <c r="Q183" s="210" t="s">
        <v>168</v>
      </c>
      <c r="R183" s="47" t="str">
        <f>'МРСК 2'!C186</f>
        <v>4+4</v>
      </c>
      <c r="S183" s="47">
        <f>'МРСК 2'!D186</f>
        <v>0.08399999999999999</v>
      </c>
      <c r="T183" s="15">
        <f>'МРСК 2'!E186</f>
        <v>2.847348693161976</v>
      </c>
      <c r="U183" s="46">
        <f>'МРСК 2'!F186</f>
        <v>1.054</v>
      </c>
      <c r="V183" s="16">
        <f>'МРСК 2'!G186</f>
        <v>45</v>
      </c>
      <c r="W183" s="46">
        <f>'МРСК 2'!H186</f>
        <v>1.793348693161976</v>
      </c>
      <c r="X183" s="15">
        <f>'МРСК 2'!I186</f>
        <v>0</v>
      </c>
      <c r="Y183" s="48">
        <f>'МРСК 2'!J186</f>
        <v>4.2</v>
      </c>
      <c r="Z183" s="46">
        <f>'МРСК 2'!K186</f>
        <v>2.4066513068380244</v>
      </c>
      <c r="AA183" s="46" t="e">
        <f>'МРСК 2'!L186:L188</f>
        <v>#VALUE!</v>
      </c>
      <c r="AB183" s="34"/>
    </row>
    <row r="184" spans="1:28" ht="19.5">
      <c r="A184" s="14">
        <v>108</v>
      </c>
      <c r="B184" s="210" t="s">
        <v>169</v>
      </c>
      <c r="C184" s="47" t="str">
        <f>'МРСК 2'!C187</f>
        <v>2,5+2,5</v>
      </c>
      <c r="D184" s="47">
        <v>912</v>
      </c>
      <c r="E184" s="47">
        <v>352</v>
      </c>
      <c r="F184" s="105">
        <f t="shared" si="10"/>
        <v>0.9775725037049682</v>
      </c>
      <c r="G184" s="46">
        <v>0.6299911422760434</v>
      </c>
      <c r="H184" s="16">
        <v>80</v>
      </c>
      <c r="I184" s="46">
        <f t="shared" si="11"/>
        <v>0.3475813614289248</v>
      </c>
      <c r="J184" s="15">
        <v>0</v>
      </c>
      <c r="K184" s="45">
        <v>2.625</v>
      </c>
      <c r="L184" s="105">
        <v>2.277418638571075</v>
      </c>
      <c r="M184" s="46">
        <f t="shared" si="9"/>
        <v>2.277418638571075</v>
      </c>
      <c r="N184" s="34"/>
      <c r="P184" s="14">
        <v>108</v>
      </c>
      <c r="Q184" s="210" t="s">
        <v>169</v>
      </c>
      <c r="R184" s="47" t="str">
        <f>'МРСК 2'!C187</f>
        <v>2,5+2,5</v>
      </c>
      <c r="S184" s="47">
        <f>'МРСК 2'!D187</f>
        <v>0.01</v>
      </c>
      <c r="T184" s="15">
        <f>'МРСК 2'!E187</f>
        <v>0.9875725037049682</v>
      </c>
      <c r="U184" s="46">
        <f>'МРСК 2'!F187</f>
        <v>0.6299911422760434</v>
      </c>
      <c r="V184" s="16">
        <f>'МРСК 2'!G187</f>
        <v>80</v>
      </c>
      <c r="W184" s="46">
        <f>'МРСК 2'!H187</f>
        <v>0.3575813614289248</v>
      </c>
      <c r="X184" s="15">
        <f>'МРСК 2'!I187</f>
        <v>0</v>
      </c>
      <c r="Y184" s="48">
        <f>'МРСК 2'!J187</f>
        <v>2.625</v>
      </c>
      <c r="Z184" s="46">
        <f>'МРСК 2'!K187</f>
        <v>2.2674186385710753</v>
      </c>
      <c r="AA184" s="46" t="e">
        <f>'МРСК 2'!L187:L189</f>
        <v>#VALUE!</v>
      </c>
      <c r="AB184" s="34"/>
    </row>
    <row r="185" spans="1:28" ht="19.5">
      <c r="A185" s="14">
        <v>109</v>
      </c>
      <c r="B185" s="210" t="s">
        <v>170</v>
      </c>
      <c r="C185" s="47" t="str">
        <f>'МРСК 2'!C188</f>
        <v>2,5+4</v>
      </c>
      <c r="D185" s="47">
        <v>1216</v>
      </c>
      <c r="E185" s="47">
        <v>336</v>
      </c>
      <c r="F185" s="105">
        <f t="shared" si="10"/>
        <v>1.2615672792205732</v>
      </c>
      <c r="G185" s="46">
        <v>0.274</v>
      </c>
      <c r="H185" s="16">
        <v>80</v>
      </c>
      <c r="I185" s="46">
        <f t="shared" si="11"/>
        <v>0.9875672792205732</v>
      </c>
      <c r="J185" s="15">
        <v>0</v>
      </c>
      <c r="K185" s="45">
        <v>2.625</v>
      </c>
      <c r="L185" s="105">
        <v>1.6374327207794268</v>
      </c>
      <c r="M185" s="46">
        <f t="shared" si="9"/>
        <v>1.6374327207794268</v>
      </c>
      <c r="N185" s="34"/>
      <c r="P185" s="14">
        <v>109</v>
      </c>
      <c r="Q185" s="210" t="s">
        <v>170</v>
      </c>
      <c r="R185" s="47" t="str">
        <f>'МРСК 2'!C188</f>
        <v>2,5+4</v>
      </c>
      <c r="S185" s="47">
        <f>'МРСК 2'!D188</f>
        <v>0.22</v>
      </c>
      <c r="T185" s="15">
        <f>'МРСК 2'!E188</f>
        <v>1.4815672792205732</v>
      </c>
      <c r="U185" s="46">
        <f>'МРСК 2'!F188</f>
        <v>0.274</v>
      </c>
      <c r="V185" s="16">
        <f>'МРСК 2'!G188</f>
        <v>80</v>
      </c>
      <c r="W185" s="46">
        <f>'МРСК 2'!H188</f>
        <v>1.2075672792205732</v>
      </c>
      <c r="X185" s="15">
        <f>'МРСК 2'!I188</f>
        <v>0</v>
      </c>
      <c r="Y185" s="48">
        <f>'МРСК 2'!J188</f>
        <v>2.625</v>
      </c>
      <c r="Z185" s="46">
        <f>'МРСК 2'!K188</f>
        <v>1.4174327207794268</v>
      </c>
      <c r="AA185" s="46" t="e">
        <f>'МРСК 2'!L188:L190</f>
        <v>#VALUE!</v>
      </c>
      <c r="AB185" s="34"/>
    </row>
    <row r="186" spans="1:28" ht="19.5">
      <c r="A186" s="14">
        <v>110</v>
      </c>
      <c r="B186" s="210" t="s">
        <v>171</v>
      </c>
      <c r="C186" s="47" t="str">
        <f>'МРСК 2'!C189</f>
        <v>10+10</v>
      </c>
      <c r="D186" s="47">
        <v>7464</v>
      </c>
      <c r="E186" s="47">
        <v>2112</v>
      </c>
      <c r="F186" s="105">
        <f t="shared" si="10"/>
        <v>7.757050986038444</v>
      </c>
      <c r="G186" s="46">
        <v>4.051</v>
      </c>
      <c r="H186" s="16">
        <v>120</v>
      </c>
      <c r="I186" s="46">
        <f t="shared" si="11"/>
        <v>3.706050986038444</v>
      </c>
      <c r="J186" s="15">
        <v>0</v>
      </c>
      <c r="K186" s="45">
        <v>10.5</v>
      </c>
      <c r="L186" s="105">
        <v>6.793949013961556</v>
      </c>
      <c r="M186" s="46">
        <f t="shared" si="9"/>
        <v>6.793949013961556</v>
      </c>
      <c r="N186" s="34"/>
      <c r="P186" s="14">
        <v>110</v>
      </c>
      <c r="Q186" s="210" t="s">
        <v>171</v>
      </c>
      <c r="R186" s="47" t="str">
        <f>'МРСК 2'!C189</f>
        <v>10+10</v>
      </c>
      <c r="S186" s="47">
        <f>'МРСК 2'!D189</f>
        <v>0.3609</v>
      </c>
      <c r="T186" s="15">
        <f>'МРСК 2'!E189</f>
        <v>8.117950986038444</v>
      </c>
      <c r="U186" s="46">
        <f>'МРСК 2'!F189</f>
        <v>4.051</v>
      </c>
      <c r="V186" s="16">
        <f>'МРСК 2'!G189</f>
        <v>120</v>
      </c>
      <c r="W186" s="46">
        <f>'МРСК 2'!H189</f>
        <v>4.066950986038444</v>
      </c>
      <c r="X186" s="15">
        <f>'МРСК 2'!I189</f>
        <v>0</v>
      </c>
      <c r="Y186" s="48">
        <f>'МРСК 2'!J189</f>
        <v>10.5</v>
      </c>
      <c r="Z186" s="46">
        <f>'МРСК 2'!K189</f>
        <v>6.433049013961556</v>
      </c>
      <c r="AA186" s="46" t="e">
        <f>'МРСК 2'!L189:L191</f>
        <v>#VALUE!</v>
      </c>
      <c r="AB186" s="34"/>
    </row>
    <row r="187" spans="1:28" ht="19.5">
      <c r="A187" s="14">
        <v>111</v>
      </c>
      <c r="B187" s="210" t="s">
        <v>172</v>
      </c>
      <c r="C187" s="47" t="str">
        <f>'МРСК 2'!C190</f>
        <v>2,5+2,5</v>
      </c>
      <c r="D187" s="47">
        <v>606</v>
      </c>
      <c r="E187" s="47">
        <v>282</v>
      </c>
      <c r="F187" s="105">
        <f t="shared" si="10"/>
        <v>0.6684010771984139</v>
      </c>
      <c r="G187" s="46">
        <v>0.42</v>
      </c>
      <c r="H187" s="16">
        <v>80</v>
      </c>
      <c r="I187" s="46">
        <f t="shared" si="11"/>
        <v>0.24840107719841392</v>
      </c>
      <c r="J187" s="15">
        <v>0</v>
      </c>
      <c r="K187" s="45">
        <v>2.625</v>
      </c>
      <c r="L187" s="105">
        <v>2.3765989228015862</v>
      </c>
      <c r="M187" s="46">
        <f t="shared" si="9"/>
        <v>2.3765989228015862</v>
      </c>
      <c r="N187" s="34"/>
      <c r="P187" s="14">
        <v>111</v>
      </c>
      <c r="Q187" s="210" t="s">
        <v>172</v>
      </c>
      <c r="R187" s="47" t="str">
        <f>'МРСК 2'!C190</f>
        <v>2,5+2,5</v>
      </c>
      <c r="S187" s="47">
        <f>'МРСК 2'!D190</f>
        <v>0.03</v>
      </c>
      <c r="T187" s="15">
        <f>'МРСК 2'!E190</f>
        <v>0.6984010771984139</v>
      </c>
      <c r="U187" s="46">
        <f>'МРСК 2'!F190</f>
        <v>0.42</v>
      </c>
      <c r="V187" s="16">
        <f>'МРСК 2'!G190</f>
        <v>80</v>
      </c>
      <c r="W187" s="46">
        <f>'МРСК 2'!H190</f>
        <v>0.27840107719841395</v>
      </c>
      <c r="X187" s="15">
        <f>'МРСК 2'!I190</f>
        <v>0</v>
      </c>
      <c r="Y187" s="48">
        <f>'МРСК 2'!J190</f>
        <v>2.625</v>
      </c>
      <c r="Z187" s="46">
        <f>'МРСК 2'!K190</f>
        <v>2.346598922801586</v>
      </c>
      <c r="AA187" s="46" t="e">
        <f>'МРСК 2'!L190:L192</f>
        <v>#VALUE!</v>
      </c>
      <c r="AB187" s="34"/>
    </row>
    <row r="188" spans="1:28" ht="19.5">
      <c r="A188" s="14">
        <v>112</v>
      </c>
      <c r="B188" s="210" t="s">
        <v>173</v>
      </c>
      <c r="C188" s="47" t="str">
        <f>'МРСК 2'!C191</f>
        <v>10+10+10</v>
      </c>
      <c r="D188" s="47">
        <v>6552</v>
      </c>
      <c r="E188" s="47">
        <v>3360</v>
      </c>
      <c r="F188" s="105">
        <f t="shared" si="10"/>
        <v>7.363307952272538</v>
      </c>
      <c r="G188" s="46">
        <v>1.707</v>
      </c>
      <c r="H188" s="16">
        <v>120</v>
      </c>
      <c r="I188" s="46">
        <f t="shared" si="11"/>
        <v>5.656307952272538</v>
      </c>
      <c r="J188" s="15">
        <v>0</v>
      </c>
      <c r="K188" s="45">
        <v>21</v>
      </c>
      <c r="L188" s="105">
        <v>15.343692047727462</v>
      </c>
      <c r="M188" s="46">
        <f t="shared" si="9"/>
        <v>15.343692047727462</v>
      </c>
      <c r="N188" s="34"/>
      <c r="P188" s="14">
        <v>112</v>
      </c>
      <c r="Q188" s="210" t="s">
        <v>173</v>
      </c>
      <c r="R188" s="47" t="str">
        <f>'МРСК 2'!C191</f>
        <v>10+10+10</v>
      </c>
      <c r="S188" s="47">
        <f>'МРСК 2'!D191</f>
        <v>0.06</v>
      </c>
      <c r="T188" s="15">
        <f>'МРСК 2'!E191</f>
        <v>7.423307952272538</v>
      </c>
      <c r="U188" s="46">
        <f>'МРСК 2'!F191</f>
        <v>1.707</v>
      </c>
      <c r="V188" s="16">
        <f>'МРСК 2'!G191</f>
        <v>120</v>
      </c>
      <c r="W188" s="46">
        <f>'МРСК 2'!H191</f>
        <v>5.716307952272538</v>
      </c>
      <c r="X188" s="15">
        <f>'МРСК 2'!I191</f>
        <v>0</v>
      </c>
      <c r="Y188" s="48">
        <f>'МРСК 2'!J191</f>
        <v>21</v>
      </c>
      <c r="Z188" s="46">
        <f>'МРСК 2'!K191</f>
        <v>15.283692047727463</v>
      </c>
      <c r="AA188" s="46" t="e">
        <f>'МРСК 2'!L191:L193</f>
        <v>#VALUE!</v>
      </c>
      <c r="AB188" s="34"/>
    </row>
    <row r="189" spans="1:28" ht="19.5">
      <c r="A189" s="14">
        <v>113</v>
      </c>
      <c r="B189" s="210" t="s">
        <v>174</v>
      </c>
      <c r="C189" s="47" t="str">
        <f>'МРСК 2'!C192</f>
        <v>6,3+6,3</v>
      </c>
      <c r="D189" s="47">
        <v>5744</v>
      </c>
      <c r="E189" s="47">
        <v>3088</v>
      </c>
      <c r="F189" s="105">
        <f t="shared" si="10"/>
        <v>6.521447692038939</v>
      </c>
      <c r="G189" s="46">
        <v>3.88</v>
      </c>
      <c r="H189" s="16">
        <v>80</v>
      </c>
      <c r="I189" s="46">
        <f t="shared" si="11"/>
        <v>2.6414476920389394</v>
      </c>
      <c r="J189" s="15">
        <v>0</v>
      </c>
      <c r="K189" s="45">
        <v>6.615</v>
      </c>
      <c r="L189" s="105">
        <v>3.973552307961061</v>
      </c>
      <c r="M189" s="46">
        <f t="shared" si="9"/>
        <v>3.973552307961061</v>
      </c>
      <c r="N189" s="34"/>
      <c r="P189" s="14">
        <v>113</v>
      </c>
      <c r="Q189" s="210" t="s">
        <v>174</v>
      </c>
      <c r="R189" s="47" t="str">
        <f>'МРСК 2'!C192</f>
        <v>6,3+6,3</v>
      </c>
      <c r="S189" s="47">
        <f>'МРСК 2'!D192</f>
        <v>0.17500000000000002</v>
      </c>
      <c r="T189" s="15">
        <f>'МРСК 2'!E192</f>
        <v>6.696447692038939</v>
      </c>
      <c r="U189" s="46">
        <f>'МРСК 2'!F192</f>
        <v>3.88</v>
      </c>
      <c r="V189" s="16">
        <f>'МРСК 2'!G192</f>
        <v>80</v>
      </c>
      <c r="W189" s="46">
        <f>'МРСК 2'!H192</f>
        <v>2.816447692038939</v>
      </c>
      <c r="X189" s="15">
        <f>'МРСК 2'!I192</f>
        <v>0</v>
      </c>
      <c r="Y189" s="48">
        <f>'МРСК 2'!J192</f>
        <v>6.615</v>
      </c>
      <c r="Z189" s="46">
        <f>'МРСК 2'!K192</f>
        <v>3.798552307961061</v>
      </c>
      <c r="AA189" s="46" t="e">
        <f>'МРСК 2'!L192:L194</f>
        <v>#VALUE!</v>
      </c>
      <c r="AB189" s="34"/>
    </row>
    <row r="190" spans="1:28" ht="19.5">
      <c r="A190" s="14">
        <v>114</v>
      </c>
      <c r="B190" s="210" t="s">
        <v>175</v>
      </c>
      <c r="C190" s="47" t="str">
        <f>'МРСК 2'!C193</f>
        <v>2,5+2,5</v>
      </c>
      <c r="D190" s="47">
        <v>1192</v>
      </c>
      <c r="E190" s="47">
        <v>392</v>
      </c>
      <c r="F190" s="105">
        <f t="shared" si="10"/>
        <v>1.2548019764090268</v>
      </c>
      <c r="G190" s="46">
        <v>0.5860328625822191</v>
      </c>
      <c r="H190" s="16">
        <v>80</v>
      </c>
      <c r="I190" s="46">
        <f t="shared" si="11"/>
        <v>0.6687691138268077</v>
      </c>
      <c r="J190" s="15">
        <v>0</v>
      </c>
      <c r="K190" s="45">
        <v>2.625</v>
      </c>
      <c r="L190" s="105">
        <v>1.9562308861731923</v>
      </c>
      <c r="M190" s="46">
        <f t="shared" si="9"/>
        <v>1.9562308861731923</v>
      </c>
      <c r="N190" s="34"/>
      <c r="P190" s="14">
        <v>114</v>
      </c>
      <c r="Q190" s="210" t="s">
        <v>175</v>
      </c>
      <c r="R190" s="47" t="str">
        <f>'МРСК 2'!C193</f>
        <v>2,5+2,5</v>
      </c>
      <c r="S190" s="47">
        <f>'МРСК 2'!D193</f>
        <v>1.444</v>
      </c>
      <c r="T190" s="15">
        <f>'МРСК 2'!E193</f>
        <v>2.698801976409027</v>
      </c>
      <c r="U190" s="46">
        <f>'МРСК 2'!F193</f>
        <v>0.5860328625822191</v>
      </c>
      <c r="V190" s="16">
        <f>'МРСК 2'!G193</f>
        <v>80</v>
      </c>
      <c r="W190" s="46">
        <f>'МРСК 2'!H193</f>
        <v>2.1127691138268077</v>
      </c>
      <c r="X190" s="15">
        <f>'МРСК 2'!I193</f>
        <v>0</v>
      </c>
      <c r="Y190" s="48">
        <f>'МРСК 2'!J193</f>
        <v>2.625</v>
      </c>
      <c r="Z190" s="46">
        <f>'МРСК 2'!K193</f>
        <v>0.5122308861731923</v>
      </c>
      <c r="AA190" s="46" t="e">
        <f>'МРСК 2'!L193:L195</f>
        <v>#VALUE!</v>
      </c>
      <c r="AB190" s="34"/>
    </row>
    <row r="191" spans="1:28" ht="19.5">
      <c r="A191" s="14">
        <v>115</v>
      </c>
      <c r="B191" s="210" t="s">
        <v>176</v>
      </c>
      <c r="C191" s="47" t="str">
        <f>'МРСК 2'!C194</f>
        <v>4+4</v>
      </c>
      <c r="D191" s="47">
        <v>2872</v>
      </c>
      <c r="E191" s="47">
        <v>904</v>
      </c>
      <c r="F191" s="105">
        <f t="shared" si="10"/>
        <v>3.01091348264941</v>
      </c>
      <c r="G191" s="46">
        <v>2.056</v>
      </c>
      <c r="H191" s="16">
        <v>45</v>
      </c>
      <c r="I191" s="46">
        <f t="shared" si="11"/>
        <v>0.9549134826494101</v>
      </c>
      <c r="J191" s="15">
        <v>0</v>
      </c>
      <c r="K191" s="45">
        <v>4.2</v>
      </c>
      <c r="L191" s="105">
        <v>3.24508651735059</v>
      </c>
      <c r="M191" s="46">
        <f t="shared" si="9"/>
        <v>3.24508651735059</v>
      </c>
      <c r="N191" s="34"/>
      <c r="P191" s="14">
        <v>115</v>
      </c>
      <c r="Q191" s="210" t="s">
        <v>176</v>
      </c>
      <c r="R191" s="47" t="str">
        <f>'МРСК 2'!C194</f>
        <v>4+4</v>
      </c>
      <c r="S191" s="47">
        <f>'МРСК 2'!D194</f>
        <v>0.862</v>
      </c>
      <c r="T191" s="15">
        <f>'МРСК 2'!E194</f>
        <v>3.8729134826494103</v>
      </c>
      <c r="U191" s="46">
        <f>'МРСК 2'!F194</f>
        <v>2.056</v>
      </c>
      <c r="V191" s="16">
        <f>'МРСК 2'!G194</f>
        <v>45</v>
      </c>
      <c r="W191" s="46">
        <f>'МРСК 2'!H194</f>
        <v>1.8169134826494102</v>
      </c>
      <c r="X191" s="15">
        <f>'МРСК 2'!I194</f>
        <v>0</v>
      </c>
      <c r="Y191" s="48">
        <f>'МРСК 2'!J194</f>
        <v>4.2</v>
      </c>
      <c r="Z191" s="46">
        <f>'МРСК 2'!K194</f>
        <v>2.38308651735059</v>
      </c>
      <c r="AA191" s="46" t="e">
        <f>'МРСК 2'!L194:L196</f>
        <v>#VALUE!</v>
      </c>
      <c r="AB191" s="34"/>
    </row>
    <row r="192" spans="1:28" ht="19.5">
      <c r="A192" s="14">
        <v>116</v>
      </c>
      <c r="B192" s="210" t="s">
        <v>177</v>
      </c>
      <c r="C192" s="47" t="str">
        <f>'МРСК 2'!C195</f>
        <v>4+2,5</v>
      </c>
      <c r="D192" s="47">
        <v>1224</v>
      </c>
      <c r="E192" s="47">
        <v>632</v>
      </c>
      <c r="F192" s="105">
        <f t="shared" si="10"/>
        <v>1.3775340286178053</v>
      </c>
      <c r="G192" s="46">
        <v>0.939351515379801</v>
      </c>
      <c r="H192" s="16">
        <v>120</v>
      </c>
      <c r="I192" s="46">
        <f t="shared" si="11"/>
        <v>0.4381825132380043</v>
      </c>
      <c r="J192" s="15">
        <v>0</v>
      </c>
      <c r="K192" s="45">
        <v>2.625</v>
      </c>
      <c r="L192" s="105">
        <v>2.1868174867619956</v>
      </c>
      <c r="M192" s="46">
        <f t="shared" si="9"/>
        <v>2.1868174867619956</v>
      </c>
      <c r="N192" s="34"/>
      <c r="P192" s="14">
        <v>116</v>
      </c>
      <c r="Q192" s="210" t="s">
        <v>177</v>
      </c>
      <c r="R192" s="47" t="str">
        <f>'МРСК 2'!C195</f>
        <v>4+2,5</v>
      </c>
      <c r="S192" s="47">
        <f>'МРСК 2'!D195</f>
        <v>0</v>
      </c>
      <c r="T192" s="15">
        <f>'МРСК 2'!E195</f>
        <v>1.3775340286178053</v>
      </c>
      <c r="U192" s="46">
        <f>'МРСК 2'!F195</f>
        <v>0.939351515379801</v>
      </c>
      <c r="V192" s="16">
        <f>'МРСК 2'!G195</f>
        <v>120</v>
      </c>
      <c r="W192" s="46">
        <f>'МРСК 2'!H195</f>
        <v>0.4381825132380043</v>
      </c>
      <c r="X192" s="15">
        <f>'МРСК 2'!I195</f>
        <v>0</v>
      </c>
      <c r="Y192" s="48">
        <f>'МРСК 2'!J195</f>
        <v>2.625</v>
      </c>
      <c r="Z192" s="46">
        <f>'МРСК 2'!K195</f>
        <v>2.1868174867619956</v>
      </c>
      <c r="AA192" s="46" t="e">
        <f>'МРСК 2'!L195:L197</f>
        <v>#VALUE!</v>
      </c>
      <c r="AB192" s="34"/>
    </row>
    <row r="193" spans="1:28" ht="19.5">
      <c r="A193" s="14">
        <v>117</v>
      </c>
      <c r="B193" s="210" t="s">
        <v>178</v>
      </c>
      <c r="C193" s="47" t="str">
        <f>'МРСК 2'!C196</f>
        <v>2,5+4</v>
      </c>
      <c r="D193" s="47">
        <v>1589</v>
      </c>
      <c r="E193" s="47">
        <v>525</v>
      </c>
      <c r="F193" s="105">
        <f t="shared" si="10"/>
        <v>1.6734831938206012</v>
      </c>
      <c r="G193" s="46">
        <v>0.8714116873317177</v>
      </c>
      <c r="H193" s="16">
        <v>45</v>
      </c>
      <c r="I193" s="46">
        <f t="shared" si="11"/>
        <v>0.8020715064888835</v>
      </c>
      <c r="J193" s="15">
        <v>0</v>
      </c>
      <c r="K193" s="45">
        <v>2.625</v>
      </c>
      <c r="L193" s="105">
        <v>1.8229284935111165</v>
      </c>
      <c r="M193" s="46">
        <f t="shared" si="9"/>
        <v>1.8229284935111165</v>
      </c>
      <c r="N193" s="34"/>
      <c r="P193" s="14">
        <v>117</v>
      </c>
      <c r="Q193" s="210" t="s">
        <v>178</v>
      </c>
      <c r="R193" s="47" t="str">
        <f>'МРСК 2'!C196</f>
        <v>2,5+4</v>
      </c>
      <c r="S193" s="47">
        <f>'МРСК 2'!D196</f>
        <v>0</v>
      </c>
      <c r="T193" s="15">
        <f>'МРСК 2'!E196</f>
        <v>1.6734831938206012</v>
      </c>
      <c r="U193" s="46">
        <f>'МРСК 2'!F196</f>
        <v>0.8714116873317177</v>
      </c>
      <c r="V193" s="16">
        <f>'МРСК 2'!G196</f>
        <v>45</v>
      </c>
      <c r="W193" s="46">
        <f>'МРСК 2'!H196</f>
        <v>0.8020715064888835</v>
      </c>
      <c r="X193" s="15">
        <f>'МРСК 2'!I196</f>
        <v>0</v>
      </c>
      <c r="Y193" s="48">
        <f>'МРСК 2'!J196</f>
        <v>2.625</v>
      </c>
      <c r="Z193" s="46">
        <f>'МРСК 2'!K196</f>
        <v>1.8229284935111165</v>
      </c>
      <c r="AA193" s="46" t="e">
        <f>'МРСК 2'!L196:L198</f>
        <v>#VALUE!</v>
      </c>
      <c r="AB193" s="34"/>
    </row>
    <row r="194" spans="1:28" ht="19.5">
      <c r="A194" s="14">
        <v>118</v>
      </c>
      <c r="B194" s="210" t="s">
        <v>179</v>
      </c>
      <c r="C194" s="47" t="str">
        <f>'МРСК 2'!C197</f>
        <v>4+4</v>
      </c>
      <c r="D194" s="47">
        <v>2412</v>
      </c>
      <c r="E194" s="47">
        <v>672</v>
      </c>
      <c r="F194" s="105">
        <f t="shared" si="10"/>
        <v>2.5038626160394664</v>
      </c>
      <c r="G194" s="46">
        <v>0.736</v>
      </c>
      <c r="H194" s="16">
        <v>120</v>
      </c>
      <c r="I194" s="46">
        <f t="shared" si="11"/>
        <v>1.7678626160394664</v>
      </c>
      <c r="J194" s="15">
        <v>0</v>
      </c>
      <c r="K194" s="45">
        <v>4.2</v>
      </c>
      <c r="L194" s="105">
        <v>2.4321373839605336</v>
      </c>
      <c r="M194" s="46">
        <f t="shared" si="9"/>
        <v>2.4321373839605336</v>
      </c>
      <c r="N194" s="34"/>
      <c r="P194" s="14">
        <v>118</v>
      </c>
      <c r="Q194" s="210" t="s">
        <v>179</v>
      </c>
      <c r="R194" s="47" t="str">
        <f>'МРСК 2'!C197</f>
        <v>4+4</v>
      </c>
      <c r="S194" s="47">
        <f>'МРСК 2'!D197</f>
        <v>0.015</v>
      </c>
      <c r="T194" s="15">
        <f>'МРСК 2'!E197</f>
        <v>2.5188626160394665</v>
      </c>
      <c r="U194" s="46">
        <f>'МРСК 2'!F197</f>
        <v>0.736</v>
      </c>
      <c r="V194" s="16">
        <f>'МРСК 2'!G197</f>
        <v>120</v>
      </c>
      <c r="W194" s="46">
        <f>'МРСК 2'!H197</f>
        <v>1.7828626160394665</v>
      </c>
      <c r="X194" s="15">
        <f>'МРСК 2'!I197</f>
        <v>0</v>
      </c>
      <c r="Y194" s="48">
        <f>'МРСК 2'!J197</f>
        <v>4.2</v>
      </c>
      <c r="Z194" s="46">
        <f>'МРСК 2'!K197</f>
        <v>2.417137383960534</v>
      </c>
      <c r="AA194" s="46" t="e">
        <f>'МРСК 2'!L197:L199</f>
        <v>#VALUE!</v>
      </c>
      <c r="AB194" s="34"/>
    </row>
    <row r="195" spans="1:28" ht="19.5">
      <c r="A195" s="14">
        <v>119</v>
      </c>
      <c r="B195" s="210" t="s">
        <v>180</v>
      </c>
      <c r="C195" s="47" t="str">
        <f>'МРСК 2'!C198</f>
        <v>2,5+2,5</v>
      </c>
      <c r="D195" s="47">
        <v>1040</v>
      </c>
      <c r="E195" s="47">
        <v>360</v>
      </c>
      <c r="F195" s="105">
        <f t="shared" si="10"/>
        <v>1.1005453193758084</v>
      </c>
      <c r="G195" s="46">
        <v>0.712</v>
      </c>
      <c r="H195" s="16">
        <v>120</v>
      </c>
      <c r="I195" s="46">
        <f t="shared" si="11"/>
        <v>0.3885453193758084</v>
      </c>
      <c r="J195" s="15">
        <v>0</v>
      </c>
      <c r="K195" s="45">
        <v>2.625</v>
      </c>
      <c r="L195" s="105">
        <v>2.236454680624192</v>
      </c>
      <c r="M195" s="46">
        <f t="shared" si="9"/>
        <v>2.236454680624192</v>
      </c>
      <c r="N195" s="34"/>
      <c r="P195" s="14">
        <v>119</v>
      </c>
      <c r="Q195" s="210" t="s">
        <v>180</v>
      </c>
      <c r="R195" s="47" t="str">
        <f>'МРСК 2'!C198</f>
        <v>2,5+2,5</v>
      </c>
      <c r="S195" s="47">
        <f>'МРСК 2'!D198</f>
        <v>0.09</v>
      </c>
      <c r="T195" s="15">
        <f>'МРСК 2'!E198</f>
        <v>1.1905453193758084</v>
      </c>
      <c r="U195" s="46">
        <f>'МРСК 2'!F198</f>
        <v>0.712</v>
      </c>
      <c r="V195" s="16">
        <f>'МРСК 2'!G198</f>
        <v>120</v>
      </c>
      <c r="W195" s="46">
        <f>'МРСК 2'!H198</f>
        <v>0.47854531937580846</v>
      </c>
      <c r="X195" s="15">
        <f>'МРСК 2'!I198</f>
        <v>0</v>
      </c>
      <c r="Y195" s="48">
        <f>'МРСК 2'!J198</f>
        <v>2.625</v>
      </c>
      <c r="Z195" s="46">
        <f>'МРСК 2'!K198</f>
        <v>2.1464546806241915</v>
      </c>
      <c r="AA195" s="46" t="e">
        <f>'МРСК 2'!L198:L200</f>
        <v>#VALUE!</v>
      </c>
      <c r="AB195" s="34"/>
    </row>
    <row r="196" spans="1:28" ht="19.5">
      <c r="A196" s="14">
        <v>120</v>
      </c>
      <c r="B196" s="210" t="s">
        <v>181</v>
      </c>
      <c r="C196" s="47" t="str">
        <f>'МРСК 2'!C199</f>
        <v>6,3+6,3</v>
      </c>
      <c r="D196" s="47">
        <v>3132</v>
      </c>
      <c r="E196" s="47">
        <v>1536</v>
      </c>
      <c r="F196" s="105">
        <f t="shared" si="10"/>
        <v>3.4883692465104663</v>
      </c>
      <c r="G196" s="46">
        <v>0.7035</v>
      </c>
      <c r="H196" s="16">
        <v>120</v>
      </c>
      <c r="I196" s="46">
        <f t="shared" si="11"/>
        <v>2.7848692465104663</v>
      </c>
      <c r="J196" s="15">
        <v>0</v>
      </c>
      <c r="K196" s="45">
        <v>6.615</v>
      </c>
      <c r="L196" s="105">
        <v>3.830130753489534</v>
      </c>
      <c r="M196" s="46">
        <f t="shared" si="9"/>
        <v>3.830130753489534</v>
      </c>
      <c r="N196" s="34"/>
      <c r="P196" s="14">
        <v>120</v>
      </c>
      <c r="Q196" s="210" t="s">
        <v>181</v>
      </c>
      <c r="R196" s="47" t="str">
        <f>'МРСК 2'!C199</f>
        <v>6,3+6,3</v>
      </c>
      <c r="S196" s="47">
        <f>'МРСК 2'!D199</f>
        <v>0.065</v>
      </c>
      <c r="T196" s="15">
        <f>'МРСК 2'!E199</f>
        <v>3.5533692465104663</v>
      </c>
      <c r="U196" s="46">
        <f>'МРСК 2'!F199</f>
        <v>0.7035</v>
      </c>
      <c r="V196" s="16">
        <f>'МРСК 2'!G199</f>
        <v>120</v>
      </c>
      <c r="W196" s="46">
        <f>'МРСК 2'!H199</f>
        <v>2.8498692465104662</v>
      </c>
      <c r="X196" s="15">
        <f>'МРСК 2'!I199</f>
        <v>0</v>
      </c>
      <c r="Y196" s="48">
        <f>'МРСК 2'!J199</f>
        <v>6.615</v>
      </c>
      <c r="Z196" s="46">
        <f>'МРСК 2'!K199</f>
        <v>3.765130753489534</v>
      </c>
      <c r="AA196" s="46" t="e">
        <f>'МРСК 2'!L199:L201</f>
        <v>#VALUE!</v>
      </c>
      <c r="AB196" s="34"/>
    </row>
    <row r="197" spans="1:28" ht="19.5">
      <c r="A197" s="14">
        <v>121</v>
      </c>
      <c r="B197" s="210" t="s">
        <v>182</v>
      </c>
      <c r="C197" s="47" t="str">
        <f>'МРСК 2'!C200</f>
        <v>2,5+2,5</v>
      </c>
      <c r="D197" s="47">
        <v>2672</v>
      </c>
      <c r="E197" s="47">
        <v>768</v>
      </c>
      <c r="F197" s="105">
        <f t="shared" si="10"/>
        <v>2.780181289052928</v>
      </c>
      <c r="G197" s="46">
        <v>1.6480094565606436</v>
      </c>
      <c r="H197" s="16">
        <v>20</v>
      </c>
      <c r="I197" s="46">
        <f t="shared" si="11"/>
        <v>1.1321718324922845</v>
      </c>
      <c r="J197" s="15">
        <v>0</v>
      </c>
      <c r="K197" s="45">
        <v>2.625</v>
      </c>
      <c r="L197" s="105">
        <v>1.4928281675077155</v>
      </c>
      <c r="M197" s="46">
        <f t="shared" si="9"/>
        <v>1.4928281675077155</v>
      </c>
      <c r="N197" s="34"/>
      <c r="P197" s="14">
        <v>121</v>
      </c>
      <c r="Q197" s="210" t="s">
        <v>182</v>
      </c>
      <c r="R197" s="47" t="str">
        <f>'МРСК 2'!C200</f>
        <v>2,5+2,5</v>
      </c>
      <c r="S197" s="47">
        <f>'МРСК 2'!D200</f>
        <v>0</v>
      </c>
      <c r="T197" s="15">
        <f>'МРСК 2'!E200</f>
        <v>2.780181289052928</v>
      </c>
      <c r="U197" s="46">
        <f>'МРСК 2'!F200</f>
        <v>1.6480094565606436</v>
      </c>
      <c r="V197" s="16">
        <f>'МРСК 2'!G200</f>
        <v>20</v>
      </c>
      <c r="W197" s="46">
        <f>'МРСК 2'!H200</f>
        <v>1.1321718324922845</v>
      </c>
      <c r="X197" s="15">
        <f>'МРСК 2'!I200</f>
        <v>0</v>
      </c>
      <c r="Y197" s="48">
        <f>'МРСК 2'!J200</f>
        <v>2.625</v>
      </c>
      <c r="Z197" s="46">
        <f>'МРСК 2'!K200</f>
        <v>1.4928281675077155</v>
      </c>
      <c r="AA197" s="46" t="e">
        <f>'МРСК 2'!L200:L202</f>
        <v>#VALUE!</v>
      </c>
      <c r="AB197" s="34"/>
    </row>
    <row r="198" spans="1:28" ht="19.5">
      <c r="A198" s="14">
        <v>122</v>
      </c>
      <c r="B198" s="210" t="s">
        <v>183</v>
      </c>
      <c r="C198" s="47" t="str">
        <f>'МРСК 2'!C201</f>
        <v>2,5+4</v>
      </c>
      <c r="D198" s="47">
        <v>858</v>
      </c>
      <c r="E198" s="47">
        <v>294</v>
      </c>
      <c r="F198" s="105">
        <f t="shared" si="10"/>
        <v>0.9069729874698584</v>
      </c>
      <c r="G198" s="46">
        <v>0.6285950453618376</v>
      </c>
      <c r="H198" s="16">
        <v>45</v>
      </c>
      <c r="I198" s="46">
        <f t="shared" si="11"/>
        <v>0.2783779421080208</v>
      </c>
      <c r="J198" s="15">
        <v>0</v>
      </c>
      <c r="K198" s="45">
        <v>2.625</v>
      </c>
      <c r="L198" s="105">
        <v>2.346622057891979</v>
      </c>
      <c r="M198" s="46">
        <f t="shared" si="9"/>
        <v>2.346622057891979</v>
      </c>
      <c r="N198" s="34"/>
      <c r="P198" s="14">
        <v>122</v>
      </c>
      <c r="Q198" s="210" t="s">
        <v>183</v>
      </c>
      <c r="R198" s="47" t="str">
        <f>'МРСК 2'!C201</f>
        <v>2,5+4</v>
      </c>
      <c r="S198" s="47">
        <f>'МРСК 2'!D201</f>
        <v>0</v>
      </c>
      <c r="T198" s="15">
        <f>'МРСК 2'!E201</f>
        <v>0.9069729874698584</v>
      </c>
      <c r="U198" s="46">
        <f>'МРСК 2'!F201</f>
        <v>0.6285950453618376</v>
      </c>
      <c r="V198" s="16">
        <f>'МРСК 2'!G201</f>
        <v>45</v>
      </c>
      <c r="W198" s="46">
        <f>'МРСК 2'!H201</f>
        <v>0.2783779421080208</v>
      </c>
      <c r="X198" s="15">
        <f>'МРСК 2'!I201</f>
        <v>0</v>
      </c>
      <c r="Y198" s="48">
        <f>'МРСК 2'!J201</f>
        <v>2.625</v>
      </c>
      <c r="Z198" s="46">
        <f>'МРСК 2'!K201</f>
        <v>2.346622057891979</v>
      </c>
      <c r="AA198" s="46" t="e">
        <f>'МРСК 2'!L201:L203</f>
        <v>#VALUE!</v>
      </c>
      <c r="AB198" s="34"/>
    </row>
    <row r="199" spans="1:28" ht="19.5">
      <c r="A199" s="14">
        <v>123</v>
      </c>
      <c r="B199" s="210" t="s">
        <v>184</v>
      </c>
      <c r="C199" s="47" t="str">
        <f>'МРСК 2'!C202</f>
        <v>4+2,5</v>
      </c>
      <c r="D199" s="47">
        <v>1128</v>
      </c>
      <c r="E199" s="47">
        <v>424</v>
      </c>
      <c r="F199" s="105">
        <f t="shared" si="10"/>
        <v>1.2050560152955547</v>
      </c>
      <c r="G199" s="46">
        <v>1.1395214781841227</v>
      </c>
      <c r="H199" s="16">
        <v>80</v>
      </c>
      <c r="I199" s="46">
        <f t="shared" si="11"/>
        <v>0.06553453711143198</v>
      </c>
      <c r="J199" s="15">
        <v>0</v>
      </c>
      <c r="K199" s="45">
        <v>2.625</v>
      </c>
      <c r="L199" s="105">
        <v>2.559465462888568</v>
      </c>
      <c r="M199" s="46">
        <f t="shared" si="9"/>
        <v>2.559465462888568</v>
      </c>
      <c r="N199" s="34"/>
      <c r="P199" s="14">
        <v>123</v>
      </c>
      <c r="Q199" s="210" t="s">
        <v>184</v>
      </c>
      <c r="R199" s="47" t="str">
        <f>'МРСК 2'!C202</f>
        <v>4+2,5</v>
      </c>
      <c r="S199" s="47">
        <f>'МРСК 2'!D202</f>
        <v>0</v>
      </c>
      <c r="T199" s="15">
        <f>'МРСК 2'!E202</f>
        <v>1.2050560152955547</v>
      </c>
      <c r="U199" s="46">
        <f>'МРСК 2'!F202</f>
        <v>1.1395214781841227</v>
      </c>
      <c r="V199" s="16">
        <f>'МРСК 2'!G202</f>
        <v>80</v>
      </c>
      <c r="W199" s="46">
        <f>'МРСК 2'!H202</f>
        <v>0.06553453711143198</v>
      </c>
      <c r="X199" s="15">
        <f>'МРСК 2'!I202</f>
        <v>0</v>
      </c>
      <c r="Y199" s="48">
        <f>'МРСК 2'!J202</f>
        <v>2.625</v>
      </c>
      <c r="Z199" s="46">
        <f>'МРСК 2'!K202</f>
        <v>2.559465462888568</v>
      </c>
      <c r="AA199" s="46" t="e">
        <f>'МРСК 2'!L202:L204</f>
        <v>#VALUE!</v>
      </c>
      <c r="AB199" s="34"/>
    </row>
    <row r="200" spans="1:28" ht="19.5">
      <c r="A200" s="14">
        <v>124</v>
      </c>
      <c r="B200" s="210" t="s">
        <v>185</v>
      </c>
      <c r="C200" s="47" t="str">
        <f>'МРСК 2'!C203</f>
        <v>4+2,5</v>
      </c>
      <c r="D200" s="47">
        <v>1096</v>
      </c>
      <c r="E200" s="47">
        <v>508</v>
      </c>
      <c r="F200" s="105">
        <f t="shared" si="10"/>
        <v>1.2080066224984034</v>
      </c>
      <c r="G200" s="46">
        <v>0.6781782133174243</v>
      </c>
      <c r="H200" s="16">
        <v>120</v>
      </c>
      <c r="I200" s="46">
        <f t="shared" si="11"/>
        <v>0.5298284091809791</v>
      </c>
      <c r="J200" s="15">
        <v>0</v>
      </c>
      <c r="K200" s="45">
        <v>2.625</v>
      </c>
      <c r="L200" s="105">
        <v>2.095171590819021</v>
      </c>
      <c r="M200" s="46">
        <f t="shared" si="9"/>
        <v>2.095171590819021</v>
      </c>
      <c r="N200" s="34"/>
      <c r="P200" s="14">
        <v>124</v>
      </c>
      <c r="Q200" s="210" t="s">
        <v>185</v>
      </c>
      <c r="R200" s="47" t="str">
        <f>'МРСК 2'!C203</f>
        <v>4+2,5</v>
      </c>
      <c r="S200" s="47">
        <f>'МРСК 2'!D203</f>
        <v>0.107</v>
      </c>
      <c r="T200" s="15">
        <f>'МРСК 2'!E203</f>
        <v>1.3150066224984034</v>
      </c>
      <c r="U200" s="46">
        <f>'МРСК 2'!F203</f>
        <v>0.6781782133174243</v>
      </c>
      <c r="V200" s="16">
        <f>'МРСК 2'!G203</f>
        <v>120</v>
      </c>
      <c r="W200" s="46">
        <f>'МРСК 2'!H203</f>
        <v>0.636828409180979</v>
      </c>
      <c r="X200" s="15">
        <f>'МРСК 2'!I203</f>
        <v>0</v>
      </c>
      <c r="Y200" s="48">
        <f>'МРСК 2'!J203</f>
        <v>2.625</v>
      </c>
      <c r="Z200" s="46">
        <f>'МРСК 2'!K203</f>
        <v>1.988171590819021</v>
      </c>
      <c r="AA200" s="46" t="e">
        <f>'МРСК 2'!L203:L205</f>
        <v>#VALUE!</v>
      </c>
      <c r="AB200" s="34"/>
    </row>
    <row r="201" spans="1:28" ht="19.5">
      <c r="A201" s="14">
        <v>125</v>
      </c>
      <c r="B201" s="210" t="s">
        <v>186</v>
      </c>
      <c r="C201" s="47" t="str">
        <f>'МРСК 2'!C204</f>
        <v>4+4</v>
      </c>
      <c r="D201" s="47">
        <v>2800</v>
      </c>
      <c r="E201" s="47">
        <v>1168</v>
      </c>
      <c r="F201" s="105">
        <f t="shared" si="10"/>
        <v>3.0338464034950747</v>
      </c>
      <c r="G201" s="46">
        <v>1.7970144010193758</v>
      </c>
      <c r="H201" s="16">
        <v>80</v>
      </c>
      <c r="I201" s="46">
        <f t="shared" si="11"/>
        <v>1.236832002475699</v>
      </c>
      <c r="J201" s="15">
        <v>0</v>
      </c>
      <c r="K201" s="45">
        <v>4.2</v>
      </c>
      <c r="L201" s="105">
        <v>2.9631679975243013</v>
      </c>
      <c r="M201" s="46">
        <f t="shared" si="9"/>
        <v>2.9631679975243013</v>
      </c>
      <c r="N201" s="34"/>
      <c r="P201" s="14">
        <v>125</v>
      </c>
      <c r="Q201" s="210" t="s">
        <v>186</v>
      </c>
      <c r="R201" s="47" t="str">
        <f>'МРСК 2'!C204</f>
        <v>4+4</v>
      </c>
      <c r="S201" s="47">
        <f>'МРСК 2'!D204</f>
        <v>0.03</v>
      </c>
      <c r="T201" s="15">
        <f>'МРСК 2'!E204</f>
        <v>3.0638464034950745</v>
      </c>
      <c r="U201" s="46">
        <f>'МРСК 2'!F204</f>
        <v>1.7970144010193758</v>
      </c>
      <c r="V201" s="16">
        <f>'МРСК 2'!G204</f>
        <v>80</v>
      </c>
      <c r="W201" s="46">
        <f>'МРСК 2'!H204</f>
        <v>1.2668320024756987</v>
      </c>
      <c r="X201" s="15">
        <f>'МРСК 2'!I204</f>
        <v>0</v>
      </c>
      <c r="Y201" s="48">
        <f>'МРСК 2'!J204</f>
        <v>4.2</v>
      </c>
      <c r="Z201" s="46">
        <f>'МРСК 2'!K204</f>
        <v>2.9331679975243015</v>
      </c>
      <c r="AA201" s="46" t="e">
        <f>'МРСК 2'!L204:L206</f>
        <v>#VALUE!</v>
      </c>
      <c r="AB201" s="34"/>
    </row>
    <row r="202" spans="1:28" ht="19.5">
      <c r="A202" s="14">
        <v>126</v>
      </c>
      <c r="B202" s="210" t="s">
        <v>187</v>
      </c>
      <c r="C202" s="47" t="str">
        <f>'МРСК 2'!C205</f>
        <v>4+5,6</v>
      </c>
      <c r="D202" s="47">
        <v>4392</v>
      </c>
      <c r="E202" s="47">
        <v>1469</v>
      </c>
      <c r="F202" s="105">
        <f t="shared" si="10"/>
        <v>4.631158062515249</v>
      </c>
      <c r="G202" s="46">
        <v>0.581</v>
      </c>
      <c r="H202" s="16">
        <v>120</v>
      </c>
      <c r="I202" s="46">
        <f t="shared" si="11"/>
        <v>4.05015806251525</v>
      </c>
      <c r="J202" s="15">
        <v>0</v>
      </c>
      <c r="K202" s="45">
        <v>4.2</v>
      </c>
      <c r="L202" s="105">
        <v>0.1498419374847506</v>
      </c>
      <c r="M202" s="46">
        <f t="shared" si="9"/>
        <v>0.1498419374847506</v>
      </c>
      <c r="N202" s="34"/>
      <c r="P202" s="14">
        <v>126</v>
      </c>
      <c r="Q202" s="210" t="s">
        <v>187</v>
      </c>
      <c r="R202" s="47" t="str">
        <f>'МРСК 2'!C205</f>
        <v>4+5,6</v>
      </c>
      <c r="S202" s="47">
        <f>'МРСК 2'!D205</f>
        <v>0.09</v>
      </c>
      <c r="T202" s="15">
        <f>'МРСК 2'!E205</f>
        <v>4.721158062515249</v>
      </c>
      <c r="U202" s="46">
        <f>'МРСК 2'!F205</f>
        <v>0.581</v>
      </c>
      <c r="V202" s="16">
        <f>'МРСК 2'!G205</f>
        <v>120</v>
      </c>
      <c r="W202" s="46">
        <f>'МРСК 2'!H205</f>
        <v>4.140158062515249</v>
      </c>
      <c r="X202" s="15">
        <f>'МРСК 2'!I205</f>
        <v>0</v>
      </c>
      <c r="Y202" s="48">
        <f>'МРСК 2'!J205</f>
        <v>4.2</v>
      </c>
      <c r="Z202" s="46">
        <f>'МРСК 2'!K205</f>
        <v>0.05984193748475075</v>
      </c>
      <c r="AA202" s="46" t="e">
        <f>'МРСК 2'!L205:L207</f>
        <v>#VALUE!</v>
      </c>
      <c r="AB202" s="34"/>
    </row>
    <row r="203" spans="1:28" ht="19.5">
      <c r="A203" s="14">
        <v>127</v>
      </c>
      <c r="B203" s="210" t="s">
        <v>188</v>
      </c>
      <c r="C203" s="47" t="str">
        <f>'МРСК 2'!C206</f>
        <v>4+4</v>
      </c>
      <c r="D203" s="47">
        <v>2578</v>
      </c>
      <c r="E203" s="47">
        <v>1325</v>
      </c>
      <c r="F203" s="105">
        <f t="shared" si="10"/>
        <v>2.8985701647536497</v>
      </c>
      <c r="G203" s="46">
        <v>1.321</v>
      </c>
      <c r="H203" s="16">
        <v>80</v>
      </c>
      <c r="I203" s="46">
        <f t="shared" si="11"/>
        <v>1.5775701647536498</v>
      </c>
      <c r="J203" s="15">
        <v>0</v>
      </c>
      <c r="K203" s="45">
        <v>4.2</v>
      </c>
      <c r="L203" s="105">
        <v>2.6224298352463506</v>
      </c>
      <c r="M203" s="46">
        <f t="shared" si="9"/>
        <v>2.6224298352463506</v>
      </c>
      <c r="N203" s="34"/>
      <c r="P203" s="14">
        <v>127</v>
      </c>
      <c r="Q203" s="210" t="s">
        <v>188</v>
      </c>
      <c r="R203" s="47" t="str">
        <f>'МРСК 2'!C206</f>
        <v>4+4</v>
      </c>
      <c r="S203" s="47">
        <f>'МРСК 2'!D206</f>
        <v>0</v>
      </c>
      <c r="T203" s="15">
        <f>'МРСК 2'!E206</f>
        <v>2.8985701647536497</v>
      </c>
      <c r="U203" s="46">
        <f>'МРСК 2'!F206</f>
        <v>1.321</v>
      </c>
      <c r="V203" s="16">
        <f>'МРСК 2'!G206</f>
        <v>80</v>
      </c>
      <c r="W203" s="46">
        <f>'МРСК 2'!H206</f>
        <v>1.5775701647536498</v>
      </c>
      <c r="X203" s="15">
        <f>'МРСК 2'!I206</f>
        <v>0</v>
      </c>
      <c r="Y203" s="48">
        <f>'МРСК 2'!J206</f>
        <v>4.2</v>
      </c>
      <c r="Z203" s="46">
        <f>'МРСК 2'!K206</f>
        <v>2.6224298352463506</v>
      </c>
      <c r="AA203" s="46" t="e">
        <f>'МРСК 2'!L206:L208</f>
        <v>#VALUE!</v>
      </c>
      <c r="AB203" s="34"/>
    </row>
    <row r="204" spans="1:28" ht="19.5">
      <c r="A204" s="14">
        <v>128</v>
      </c>
      <c r="B204" s="210" t="s">
        <v>189</v>
      </c>
      <c r="C204" s="47" t="str">
        <f>'МРСК 2'!C207</f>
        <v>4+4</v>
      </c>
      <c r="D204" s="47">
        <v>3360</v>
      </c>
      <c r="E204" s="47">
        <v>2364</v>
      </c>
      <c r="F204" s="105">
        <f t="shared" si="10"/>
        <v>4.108295997125816</v>
      </c>
      <c r="G204" s="46">
        <v>1.541</v>
      </c>
      <c r="H204" s="16">
        <v>120</v>
      </c>
      <c r="I204" s="46">
        <f t="shared" si="11"/>
        <v>2.567295997125816</v>
      </c>
      <c r="J204" s="15">
        <v>0</v>
      </c>
      <c r="K204" s="45">
        <v>4.2</v>
      </c>
      <c r="L204" s="105">
        <v>1.6327040028741844</v>
      </c>
      <c r="M204" s="46">
        <f t="shared" si="9"/>
        <v>1.6327040028741844</v>
      </c>
      <c r="N204" s="34"/>
      <c r="P204" s="14">
        <v>128</v>
      </c>
      <c r="Q204" s="210" t="s">
        <v>189</v>
      </c>
      <c r="R204" s="47" t="str">
        <f>'МРСК 2'!C207</f>
        <v>4+4</v>
      </c>
      <c r="S204" s="47">
        <f>'МРСК 2'!D207</f>
        <v>0.985</v>
      </c>
      <c r="T204" s="15">
        <f>'МРСК 2'!E207</f>
        <v>5.093295997125816</v>
      </c>
      <c r="U204" s="46">
        <f>'МРСК 2'!F207</f>
        <v>1.541</v>
      </c>
      <c r="V204" s="16">
        <f>'МРСК 2'!G207</f>
        <v>120</v>
      </c>
      <c r="W204" s="46">
        <f>'МРСК 2'!H207</f>
        <v>3.552295997125816</v>
      </c>
      <c r="X204" s="15">
        <f>'МРСК 2'!I207</f>
        <v>0</v>
      </c>
      <c r="Y204" s="48">
        <f>'МРСК 2'!J207</f>
        <v>4.2</v>
      </c>
      <c r="Z204" s="46">
        <f>'МРСК 2'!K207</f>
        <v>0.6477040028741841</v>
      </c>
      <c r="AA204" s="46" t="e">
        <f>'МРСК 2'!L207:L209</f>
        <v>#VALUE!</v>
      </c>
      <c r="AB204" s="34"/>
    </row>
    <row r="205" spans="1:28" ht="19.5">
      <c r="A205" s="14">
        <v>129</v>
      </c>
      <c r="B205" s="210" t="s">
        <v>190</v>
      </c>
      <c r="C205" s="47" t="str">
        <f>'МРСК 2'!C208</f>
        <v>2,5+2,5</v>
      </c>
      <c r="D205" s="47">
        <v>828</v>
      </c>
      <c r="E205" s="47">
        <v>336</v>
      </c>
      <c r="F205" s="105">
        <f t="shared" si="10"/>
        <v>0.8935770811743103</v>
      </c>
      <c r="G205" s="46">
        <v>0.6667165227139484</v>
      </c>
      <c r="H205" s="16">
        <v>80</v>
      </c>
      <c r="I205" s="46">
        <f t="shared" si="11"/>
        <v>0.2268605584603619</v>
      </c>
      <c r="J205" s="15">
        <v>0</v>
      </c>
      <c r="K205" s="45">
        <v>2.625</v>
      </c>
      <c r="L205" s="105">
        <v>2.398139441539638</v>
      </c>
      <c r="M205" s="46">
        <f t="shared" si="9"/>
        <v>2.398139441539638</v>
      </c>
      <c r="N205" s="34"/>
      <c r="P205" s="14">
        <v>129</v>
      </c>
      <c r="Q205" s="210" t="s">
        <v>190</v>
      </c>
      <c r="R205" s="47" t="str">
        <f>'МРСК 2'!C208</f>
        <v>2,5+2,5</v>
      </c>
      <c r="S205" s="47">
        <f>'МРСК 2'!D208</f>
        <v>0</v>
      </c>
      <c r="T205" s="15">
        <f>'МРСК 2'!E208</f>
        <v>0.8935770811743103</v>
      </c>
      <c r="U205" s="46">
        <f>'МРСК 2'!F208</f>
        <v>0.6667165227139484</v>
      </c>
      <c r="V205" s="16">
        <f>'МРСК 2'!G208</f>
        <v>80</v>
      </c>
      <c r="W205" s="46">
        <f>'МРСК 2'!H208</f>
        <v>0.2268605584603619</v>
      </c>
      <c r="X205" s="15">
        <f>'МРСК 2'!I208</f>
        <v>0</v>
      </c>
      <c r="Y205" s="48">
        <f>'МРСК 2'!J208</f>
        <v>2.625</v>
      </c>
      <c r="Z205" s="46">
        <f>'МРСК 2'!K208</f>
        <v>2.398139441539638</v>
      </c>
      <c r="AA205" s="46" t="e">
        <f>'МРСК 2'!L208:L210</f>
        <v>#VALUE!</v>
      </c>
      <c r="AB205" s="34"/>
    </row>
    <row r="206" spans="1:28" ht="19.5">
      <c r="A206" s="14">
        <v>130</v>
      </c>
      <c r="B206" s="210" t="s">
        <v>191</v>
      </c>
      <c r="C206" s="47" t="str">
        <f>'МРСК 2'!C209</f>
        <v>6,3+6,3</v>
      </c>
      <c r="D206" s="47">
        <v>6264</v>
      </c>
      <c r="E206" s="47">
        <v>2844</v>
      </c>
      <c r="F206" s="105">
        <f t="shared" si="10"/>
        <v>6.8793918335852915</v>
      </c>
      <c r="G206" s="46">
        <v>1.81</v>
      </c>
      <c r="H206" s="16">
        <v>45</v>
      </c>
      <c r="I206" s="46">
        <f t="shared" si="11"/>
        <v>5.069391833585291</v>
      </c>
      <c r="J206" s="15">
        <v>0</v>
      </c>
      <c r="K206" s="45">
        <v>6.615</v>
      </c>
      <c r="L206" s="105">
        <v>1.5456081664147092</v>
      </c>
      <c r="M206" s="46">
        <f t="shared" si="9"/>
        <v>1.5456081664147092</v>
      </c>
      <c r="N206" s="34"/>
      <c r="P206" s="14">
        <v>130</v>
      </c>
      <c r="Q206" s="210" t="s">
        <v>191</v>
      </c>
      <c r="R206" s="47" t="str">
        <f>'МРСК 2'!C209</f>
        <v>6,3+6,3</v>
      </c>
      <c r="S206" s="47">
        <f>'МРСК 2'!D209</f>
        <v>0.7663</v>
      </c>
      <c r="T206" s="15">
        <f>'МРСК 2'!E209</f>
        <v>7.645691833585292</v>
      </c>
      <c r="U206" s="46">
        <f>'МРСК 2'!F209</f>
        <v>1.81</v>
      </c>
      <c r="V206" s="16">
        <f>'МРСК 2'!G209</f>
        <v>45</v>
      </c>
      <c r="W206" s="46">
        <f>'МРСК 2'!H209</f>
        <v>5.835691833585292</v>
      </c>
      <c r="X206" s="15">
        <f>'МРСК 2'!I209</f>
        <v>0</v>
      </c>
      <c r="Y206" s="48">
        <f>'МРСК 2'!J209</f>
        <v>6.615</v>
      </c>
      <c r="Z206" s="46">
        <f>'МРСК 2'!K209</f>
        <v>0.7793081664147081</v>
      </c>
      <c r="AA206" s="46" t="e">
        <f>'МРСК 2'!L209:L211</f>
        <v>#VALUE!</v>
      </c>
      <c r="AB206" s="34"/>
    </row>
    <row r="207" spans="1:28" ht="19.5">
      <c r="A207" s="14">
        <v>131</v>
      </c>
      <c r="B207" s="210" t="s">
        <v>192</v>
      </c>
      <c r="C207" s="47" t="str">
        <f>'МРСК 2'!C210</f>
        <v>2,5+2,5</v>
      </c>
      <c r="D207" s="47">
        <v>568</v>
      </c>
      <c r="E207" s="47">
        <v>368</v>
      </c>
      <c r="F207" s="105">
        <f t="shared" si="10"/>
        <v>0.6767924349458998</v>
      </c>
      <c r="G207" s="46">
        <v>0.6071607971904307</v>
      </c>
      <c r="H207" s="16">
        <v>80</v>
      </c>
      <c r="I207" s="46">
        <f t="shared" si="11"/>
        <v>0.0696316377554691</v>
      </c>
      <c r="J207" s="15">
        <v>0</v>
      </c>
      <c r="K207" s="45">
        <v>2.625</v>
      </c>
      <c r="L207" s="105">
        <v>2.555368362244531</v>
      </c>
      <c r="M207" s="46">
        <f t="shared" si="9"/>
        <v>2.555368362244531</v>
      </c>
      <c r="N207" s="34"/>
      <c r="P207" s="14">
        <v>131</v>
      </c>
      <c r="Q207" s="210" t="s">
        <v>192</v>
      </c>
      <c r="R207" s="47" t="str">
        <f>'МРСК 2'!C210</f>
        <v>2,5+2,5</v>
      </c>
      <c r="S207" s="47">
        <f>'МРСК 2'!D210</f>
        <v>0.02</v>
      </c>
      <c r="T207" s="15">
        <f>'МРСК 2'!E210</f>
        <v>0.6967924349458998</v>
      </c>
      <c r="U207" s="46">
        <f>'МРСК 2'!F210</f>
        <v>0.6071607971904307</v>
      </c>
      <c r="V207" s="16">
        <f>'МРСК 2'!G210</f>
        <v>80</v>
      </c>
      <c r="W207" s="46">
        <f>'МРСК 2'!H210</f>
        <v>0.08963163775546912</v>
      </c>
      <c r="X207" s="15">
        <f>'МРСК 2'!I210</f>
        <v>0</v>
      </c>
      <c r="Y207" s="48">
        <f>'МРСК 2'!J210</f>
        <v>2.625</v>
      </c>
      <c r="Z207" s="46">
        <f>'МРСК 2'!K210</f>
        <v>2.535368362244531</v>
      </c>
      <c r="AA207" s="46" t="e">
        <f>'МРСК 2'!L210:L212</f>
        <v>#VALUE!</v>
      </c>
      <c r="AB207" s="34"/>
    </row>
    <row r="208" spans="1:28" ht="19.5">
      <c r="A208" s="14">
        <v>132</v>
      </c>
      <c r="B208" s="210" t="s">
        <v>193</v>
      </c>
      <c r="C208" s="47" t="str">
        <f>'МРСК 2'!C211</f>
        <v>10+10</v>
      </c>
      <c r="D208" s="47">
        <v>5808</v>
      </c>
      <c r="E208" s="47">
        <v>3776</v>
      </c>
      <c r="F208" s="105">
        <f t="shared" si="10"/>
        <v>6.927556567795026</v>
      </c>
      <c r="G208" s="46">
        <v>1.357</v>
      </c>
      <c r="H208" s="16">
        <v>120</v>
      </c>
      <c r="I208" s="46">
        <f t="shared" si="11"/>
        <v>5.570556567795026</v>
      </c>
      <c r="J208" s="15">
        <v>0</v>
      </c>
      <c r="K208" s="45">
        <v>10.5</v>
      </c>
      <c r="L208" s="105">
        <v>4.929443432204974</v>
      </c>
      <c r="M208" s="46">
        <f t="shared" si="9"/>
        <v>4.929443432204974</v>
      </c>
      <c r="N208" s="34"/>
      <c r="P208" s="14">
        <v>132</v>
      </c>
      <c r="Q208" s="210" t="s">
        <v>193</v>
      </c>
      <c r="R208" s="47" t="str">
        <f>'МРСК 2'!C211</f>
        <v>10+10</v>
      </c>
      <c r="S208" s="47">
        <f>'МРСК 2'!D211</f>
        <v>0.04</v>
      </c>
      <c r="T208" s="15">
        <f>'МРСК 2'!E211</f>
        <v>6.967556567795026</v>
      </c>
      <c r="U208" s="46">
        <f>'МРСК 2'!F211</f>
        <v>1.357</v>
      </c>
      <c r="V208" s="16">
        <f>'МРСК 2'!G211</f>
        <v>120</v>
      </c>
      <c r="W208" s="46">
        <f>'МРСК 2'!H211</f>
        <v>5.610556567795026</v>
      </c>
      <c r="X208" s="15">
        <f>'МРСК 2'!I211</f>
        <v>0</v>
      </c>
      <c r="Y208" s="48">
        <f>'МРСК 2'!J211</f>
        <v>10.5</v>
      </c>
      <c r="Z208" s="46">
        <f>'МРСК 2'!K211</f>
        <v>4.889443432204974</v>
      </c>
      <c r="AA208" s="46" t="e">
        <f>'МРСК 2'!L211:L213</f>
        <v>#VALUE!</v>
      </c>
      <c r="AB208" s="34"/>
    </row>
    <row r="209" spans="1:28" ht="19.5">
      <c r="A209" s="14">
        <v>133</v>
      </c>
      <c r="B209" s="210" t="s">
        <v>194</v>
      </c>
      <c r="C209" s="47" t="str">
        <f>'МРСК 2'!C212</f>
        <v>2,5+2,5</v>
      </c>
      <c r="D209" s="47">
        <v>1488</v>
      </c>
      <c r="E209" s="47">
        <v>438</v>
      </c>
      <c r="F209" s="105">
        <f t="shared" si="10"/>
        <v>1.5511247532033006</v>
      </c>
      <c r="G209" s="46">
        <v>0.6556492964992795</v>
      </c>
      <c r="H209" s="16">
        <v>80</v>
      </c>
      <c r="I209" s="46">
        <f t="shared" si="11"/>
        <v>0.8954754567040211</v>
      </c>
      <c r="J209" s="15">
        <v>0</v>
      </c>
      <c r="K209" s="45">
        <v>2.625</v>
      </c>
      <c r="L209" s="105">
        <v>1.729524543295979</v>
      </c>
      <c r="M209" s="46">
        <f t="shared" si="9"/>
        <v>1.729524543295979</v>
      </c>
      <c r="N209" s="34"/>
      <c r="P209" s="14">
        <v>133</v>
      </c>
      <c r="Q209" s="210" t="s">
        <v>194</v>
      </c>
      <c r="R209" s="47" t="str">
        <f>'МРСК 2'!C212</f>
        <v>2,5+2,5</v>
      </c>
      <c r="S209" s="47">
        <f>'МРСК 2'!D212</f>
        <v>0.01</v>
      </c>
      <c r="T209" s="15">
        <f>'МРСК 2'!E212</f>
        <v>1.5611247532033006</v>
      </c>
      <c r="U209" s="46">
        <f>'МРСК 2'!F212</f>
        <v>0.6556492964992795</v>
      </c>
      <c r="V209" s="16">
        <f>'МРСК 2'!G212</f>
        <v>80</v>
      </c>
      <c r="W209" s="46">
        <f>'МРСК 2'!H212</f>
        <v>0.9054754567040211</v>
      </c>
      <c r="X209" s="15">
        <f>'МРСК 2'!I212</f>
        <v>0</v>
      </c>
      <c r="Y209" s="48">
        <f>'МРСК 2'!J212</f>
        <v>2.625</v>
      </c>
      <c r="Z209" s="46">
        <f>'МРСК 2'!K212</f>
        <v>1.719524543295979</v>
      </c>
      <c r="AA209" s="46" t="e">
        <f>'МРСК 2'!L212:L214</f>
        <v>#VALUE!</v>
      </c>
      <c r="AB209" s="34"/>
    </row>
    <row r="210" spans="1:28" ht="19.5">
      <c r="A210" s="14">
        <v>134</v>
      </c>
      <c r="B210" s="210" t="s">
        <v>195</v>
      </c>
      <c r="C210" s="47" t="str">
        <f>'МРСК 2'!C213</f>
        <v>2,5+2,5</v>
      </c>
      <c r="D210" s="47">
        <v>1362</v>
      </c>
      <c r="E210" s="47">
        <v>510</v>
      </c>
      <c r="F210" s="105">
        <f t="shared" si="10"/>
        <v>1.4543534646020546</v>
      </c>
      <c r="G210" s="46">
        <v>0.643</v>
      </c>
      <c r="H210" s="16">
        <v>80</v>
      </c>
      <c r="I210" s="46">
        <f t="shared" si="11"/>
        <v>0.8113534646020546</v>
      </c>
      <c r="J210" s="15">
        <v>0</v>
      </c>
      <c r="K210" s="45">
        <v>2.625</v>
      </c>
      <c r="L210" s="105">
        <v>1.8136465353979454</v>
      </c>
      <c r="M210" s="46">
        <f t="shared" si="9"/>
        <v>1.8136465353979454</v>
      </c>
      <c r="N210" s="34"/>
      <c r="P210" s="14">
        <v>134</v>
      </c>
      <c r="Q210" s="210" t="s">
        <v>195</v>
      </c>
      <c r="R210" s="47" t="str">
        <f>'МРСК 2'!C213</f>
        <v>2,5+2,5</v>
      </c>
      <c r="S210" s="47">
        <f>'МРСК 2'!D213</f>
        <v>0.031</v>
      </c>
      <c r="T210" s="15">
        <f>'МРСК 2'!E213</f>
        <v>1.4853534646020545</v>
      </c>
      <c r="U210" s="46">
        <f>'МРСК 2'!F213</f>
        <v>0.643</v>
      </c>
      <c r="V210" s="16">
        <f>'МРСК 2'!G213</f>
        <v>80</v>
      </c>
      <c r="W210" s="46">
        <f>'МРСК 2'!H213</f>
        <v>0.8423534646020545</v>
      </c>
      <c r="X210" s="15">
        <f>'МРСК 2'!I213</f>
        <v>0</v>
      </c>
      <c r="Y210" s="48">
        <f>'МРСК 2'!J213</f>
        <v>2.625</v>
      </c>
      <c r="Z210" s="46">
        <f>'МРСК 2'!K213</f>
        <v>1.7826465353979455</v>
      </c>
      <c r="AA210" s="46" t="e">
        <f>'МРСК 2'!L213:L215</f>
        <v>#VALUE!</v>
      </c>
      <c r="AB210" s="34"/>
    </row>
    <row r="211" spans="1:28" ht="19.5">
      <c r="A211" s="14">
        <v>135</v>
      </c>
      <c r="B211" s="210" t="s">
        <v>196</v>
      </c>
      <c r="C211" s="47" t="str">
        <f>'МРСК 2'!C214</f>
        <v>2,5+2,5</v>
      </c>
      <c r="D211" s="47">
        <v>1110</v>
      </c>
      <c r="E211" s="47">
        <v>522</v>
      </c>
      <c r="F211" s="105">
        <f t="shared" si="10"/>
        <v>1.226614853978216</v>
      </c>
      <c r="G211" s="46">
        <v>0.5931509082855728</v>
      </c>
      <c r="H211" s="16">
        <v>120</v>
      </c>
      <c r="I211" s="46">
        <f t="shared" si="11"/>
        <v>0.6334639456926432</v>
      </c>
      <c r="J211" s="15">
        <v>0</v>
      </c>
      <c r="K211" s="45">
        <v>2.625</v>
      </c>
      <c r="L211" s="105">
        <v>1.9915360543073568</v>
      </c>
      <c r="M211" s="46">
        <f t="shared" si="9"/>
        <v>1.9915360543073568</v>
      </c>
      <c r="N211" s="34"/>
      <c r="P211" s="14">
        <v>135</v>
      </c>
      <c r="Q211" s="210" t="s">
        <v>196</v>
      </c>
      <c r="R211" s="47" t="str">
        <f>'МРСК 2'!C214</f>
        <v>2,5+2,5</v>
      </c>
      <c r="S211" s="47">
        <f>'МРСК 2'!D214</f>
        <v>0</v>
      </c>
      <c r="T211" s="15">
        <f>'МРСК 2'!E214</f>
        <v>1.226614853978216</v>
      </c>
      <c r="U211" s="46">
        <f>'МРСК 2'!F214</f>
        <v>0.5931509082855728</v>
      </c>
      <c r="V211" s="16">
        <f>'МРСК 2'!G214</f>
        <v>120</v>
      </c>
      <c r="W211" s="46">
        <f>'МРСК 2'!H214</f>
        <v>0.6334639456926432</v>
      </c>
      <c r="X211" s="15">
        <f>'МРСК 2'!I214</f>
        <v>0</v>
      </c>
      <c r="Y211" s="48">
        <f>'МРСК 2'!J214</f>
        <v>2.625</v>
      </c>
      <c r="Z211" s="46">
        <f>'МРСК 2'!K214</f>
        <v>1.9915360543073568</v>
      </c>
      <c r="AA211" s="46" t="e">
        <f>'МРСК 2'!L214:L216</f>
        <v>#VALUE!</v>
      </c>
      <c r="AB211" s="34"/>
    </row>
    <row r="212" spans="1:28" ht="19.5">
      <c r="A212" s="14">
        <v>136</v>
      </c>
      <c r="B212" s="210" t="s">
        <v>197</v>
      </c>
      <c r="C212" s="24" t="str">
        <f>'МРСК 2'!C215</f>
        <v>6,3+6,3</v>
      </c>
      <c r="D212" s="47">
        <v>5888</v>
      </c>
      <c r="E212" s="47">
        <v>1920</v>
      </c>
      <c r="F212" s="105">
        <f t="shared" si="10"/>
        <v>6.193136846542307</v>
      </c>
      <c r="G212" s="46">
        <v>2.78</v>
      </c>
      <c r="H212" s="16">
        <v>120</v>
      </c>
      <c r="I212" s="46">
        <f t="shared" si="11"/>
        <v>3.4131368465423075</v>
      </c>
      <c r="J212" s="15">
        <v>0</v>
      </c>
      <c r="K212" s="45">
        <v>6.615</v>
      </c>
      <c r="L212" s="105">
        <v>3.2018631534576927</v>
      </c>
      <c r="M212" s="46">
        <f t="shared" si="9"/>
        <v>3.2018631534576927</v>
      </c>
      <c r="N212" s="34"/>
      <c r="P212" s="14">
        <v>136</v>
      </c>
      <c r="Q212" s="210" t="s">
        <v>197</v>
      </c>
      <c r="R212" s="47" t="str">
        <f>'МРСК 2'!C215</f>
        <v>6,3+6,3</v>
      </c>
      <c r="S212" s="47">
        <f>'МРСК 2'!D215</f>
        <v>0.181</v>
      </c>
      <c r="T212" s="15">
        <f>'МРСК 2'!E215</f>
        <v>6.374136846542307</v>
      </c>
      <c r="U212" s="46">
        <f>'МРСК 2'!F215</f>
        <v>2.78</v>
      </c>
      <c r="V212" s="16">
        <f>'МРСК 2'!G215</f>
        <v>120</v>
      </c>
      <c r="W212" s="46">
        <f>'МРСК 2'!H215</f>
        <v>3.5941368465423076</v>
      </c>
      <c r="X212" s="15">
        <f>'МРСК 2'!I215</f>
        <v>0</v>
      </c>
      <c r="Y212" s="48">
        <f>'МРСК 2'!J215</f>
        <v>6.615</v>
      </c>
      <c r="Z212" s="46">
        <f>'МРСК 2'!K215</f>
        <v>3.0208631534576926</v>
      </c>
      <c r="AA212" s="46" t="e">
        <f>'МРСК 2'!L215:L217</f>
        <v>#VALUE!</v>
      </c>
      <c r="AB212" s="34"/>
    </row>
    <row r="213" spans="1:28" ht="19.5">
      <c r="A213" s="14">
        <v>137</v>
      </c>
      <c r="B213" s="210" t="s">
        <v>198</v>
      </c>
      <c r="C213" s="47" t="str">
        <f>'МРСК 2'!C216</f>
        <v>6,3+6,3</v>
      </c>
      <c r="D213" s="47">
        <v>3360</v>
      </c>
      <c r="E213" s="47">
        <v>912</v>
      </c>
      <c r="F213" s="105">
        <f t="shared" si="10"/>
        <v>3.4815720587114094</v>
      </c>
      <c r="G213" s="46">
        <v>0.842</v>
      </c>
      <c r="H213" s="16">
        <v>45</v>
      </c>
      <c r="I213" s="46">
        <f t="shared" si="11"/>
        <v>2.6395720587114093</v>
      </c>
      <c r="J213" s="15">
        <v>0</v>
      </c>
      <c r="K213" s="45">
        <v>6.615</v>
      </c>
      <c r="L213" s="105">
        <v>3.975427941288591</v>
      </c>
      <c r="M213" s="46">
        <f t="shared" si="9"/>
        <v>3.975427941288591</v>
      </c>
      <c r="N213" s="34"/>
      <c r="P213" s="14">
        <v>137</v>
      </c>
      <c r="Q213" s="210" t="s">
        <v>198</v>
      </c>
      <c r="R213" s="47" t="str">
        <f>'МРСК 2'!C216</f>
        <v>6,3+6,3</v>
      </c>
      <c r="S213" s="47">
        <f>'МРСК 2'!D216</f>
        <v>0.31920000000000004</v>
      </c>
      <c r="T213" s="15">
        <f>'МРСК 2'!E216</f>
        <v>3.8007720587114093</v>
      </c>
      <c r="U213" s="46">
        <f>'МРСК 2'!F216</f>
        <v>0.842</v>
      </c>
      <c r="V213" s="16">
        <f>'МРСК 2'!G216</f>
        <v>45</v>
      </c>
      <c r="W213" s="46">
        <f>'МРСК 2'!H216</f>
        <v>2.9587720587114092</v>
      </c>
      <c r="X213" s="15">
        <f>'МРСК 2'!I216</f>
        <v>0</v>
      </c>
      <c r="Y213" s="48">
        <f>'МРСК 2'!J216</f>
        <v>6.615</v>
      </c>
      <c r="Z213" s="46">
        <f>'МРСК 2'!K216</f>
        <v>3.656227941288591</v>
      </c>
      <c r="AA213" s="46" t="e">
        <f>'МРСК 2'!L216:L218</f>
        <v>#VALUE!</v>
      </c>
      <c r="AB213" s="34"/>
    </row>
    <row r="214" spans="1:28" ht="19.5">
      <c r="A214" s="14">
        <v>138</v>
      </c>
      <c r="B214" s="210" t="s">
        <v>199</v>
      </c>
      <c r="C214" s="47" t="str">
        <f>'МРСК 2'!C217</f>
        <v>4+2,5</v>
      </c>
      <c r="D214" s="47">
        <v>1608</v>
      </c>
      <c r="E214" s="47">
        <v>764</v>
      </c>
      <c r="F214" s="105">
        <f t="shared" si="10"/>
        <v>1.7802696424980122</v>
      </c>
      <c r="G214" s="46">
        <v>0.57</v>
      </c>
      <c r="H214" s="16">
        <v>80</v>
      </c>
      <c r="I214" s="46">
        <f t="shared" si="11"/>
        <v>1.2102696424980124</v>
      </c>
      <c r="J214" s="15">
        <v>0</v>
      </c>
      <c r="K214" s="45">
        <v>2.625</v>
      </c>
      <c r="L214" s="105">
        <v>1.4147303575019876</v>
      </c>
      <c r="M214" s="46">
        <f t="shared" si="9"/>
        <v>1.4147303575019876</v>
      </c>
      <c r="N214" s="34"/>
      <c r="P214" s="14">
        <v>138</v>
      </c>
      <c r="Q214" s="210" t="s">
        <v>199</v>
      </c>
      <c r="R214" s="47" t="str">
        <f>'МРСК 2'!C217</f>
        <v>4+2,5</v>
      </c>
      <c r="S214" s="47">
        <f>'МРСК 2'!D217</f>
        <v>1.245</v>
      </c>
      <c r="T214" s="15">
        <f>'МРСК 2'!E217</f>
        <v>3.0252696424980123</v>
      </c>
      <c r="U214" s="46">
        <f>'МРСК 2'!F217</f>
        <v>0.57</v>
      </c>
      <c r="V214" s="16">
        <f>'МРСК 2'!G217</f>
        <v>80</v>
      </c>
      <c r="W214" s="46">
        <f>'МРСК 2'!H217</f>
        <v>2.4552696424980125</v>
      </c>
      <c r="X214" s="15">
        <f>'МРСК 2'!I217</f>
        <v>0</v>
      </c>
      <c r="Y214" s="48">
        <f>'МРСК 2'!J217</f>
        <v>2.625</v>
      </c>
      <c r="Z214" s="46">
        <f>'МРСК 2'!K217</f>
        <v>0.1697303575019875</v>
      </c>
      <c r="AA214" s="46" t="e">
        <f>'МРСК 2'!L217:L219</f>
        <v>#VALUE!</v>
      </c>
      <c r="AB214" s="34"/>
    </row>
    <row r="215" spans="1:28" ht="19.5">
      <c r="A215" s="14">
        <v>139</v>
      </c>
      <c r="B215" s="210" t="s">
        <v>200</v>
      </c>
      <c r="C215" s="47" t="str">
        <f>'МРСК 2'!C218</f>
        <v>2,5+4</v>
      </c>
      <c r="D215" s="47">
        <v>294</v>
      </c>
      <c r="E215" s="47">
        <v>142</v>
      </c>
      <c r="F215" s="105">
        <f t="shared" si="10"/>
        <v>0.32649655434629016</v>
      </c>
      <c r="G215" s="46">
        <v>0.19</v>
      </c>
      <c r="H215" s="16">
        <v>80</v>
      </c>
      <c r="I215" s="46">
        <f t="shared" si="11"/>
        <v>0.13649655434629016</v>
      </c>
      <c r="J215" s="15">
        <v>0</v>
      </c>
      <c r="K215" s="45">
        <v>2.625</v>
      </c>
      <c r="L215" s="105">
        <v>2.48850344565371</v>
      </c>
      <c r="M215" s="46">
        <f t="shared" si="9"/>
        <v>2.48850344565371</v>
      </c>
      <c r="N215" s="34"/>
      <c r="P215" s="14">
        <v>139</v>
      </c>
      <c r="Q215" s="210" t="s">
        <v>200</v>
      </c>
      <c r="R215" s="47" t="str">
        <f>'МРСК 2'!C218</f>
        <v>2,5+4</v>
      </c>
      <c r="S215" s="47">
        <f>'МРСК 2'!D218</f>
        <v>0.015</v>
      </c>
      <c r="T215" s="15">
        <f>'МРСК 2'!E218</f>
        <v>0.34149655434629017</v>
      </c>
      <c r="U215" s="46">
        <f>'МРСК 2'!F218</f>
        <v>0.19</v>
      </c>
      <c r="V215" s="16">
        <f>'МРСК 2'!G218</f>
        <v>80</v>
      </c>
      <c r="W215" s="46">
        <f>'МРСК 2'!H218</f>
        <v>0.15149655434629017</v>
      </c>
      <c r="X215" s="15">
        <f>'МРСК 2'!I218</f>
        <v>0</v>
      </c>
      <c r="Y215" s="48">
        <f>'МРСК 2'!J218</f>
        <v>2.625</v>
      </c>
      <c r="Z215" s="46">
        <f>'МРСК 2'!K218</f>
        <v>2.47350344565371</v>
      </c>
      <c r="AA215" s="46" t="e">
        <f>'МРСК 2'!L218:L220</f>
        <v>#VALUE!</v>
      </c>
      <c r="AB215" s="34"/>
    </row>
    <row r="216" spans="1:28" ht="19.5">
      <c r="A216" s="14">
        <v>140</v>
      </c>
      <c r="B216" s="210" t="s">
        <v>201</v>
      </c>
      <c r="C216" s="47" t="str">
        <f>'МРСК 2'!C219</f>
        <v>4+2,5</v>
      </c>
      <c r="D216" s="47">
        <v>1474</v>
      </c>
      <c r="E216" s="47">
        <v>706</v>
      </c>
      <c r="F216" s="105">
        <f t="shared" si="10"/>
        <v>1.6343536948898179</v>
      </c>
      <c r="G216" s="46">
        <v>0.6514729199979921</v>
      </c>
      <c r="H216" s="16">
        <v>80</v>
      </c>
      <c r="I216" s="46">
        <f t="shared" si="11"/>
        <v>0.9828807748918258</v>
      </c>
      <c r="J216" s="15">
        <v>0</v>
      </c>
      <c r="K216" s="45">
        <v>2.625</v>
      </c>
      <c r="L216" s="105">
        <v>1.6421192251081742</v>
      </c>
      <c r="M216" s="46">
        <f t="shared" si="9"/>
        <v>1.6421192251081742</v>
      </c>
      <c r="N216" s="34"/>
      <c r="P216" s="14">
        <v>140</v>
      </c>
      <c r="Q216" s="210" t="s">
        <v>201</v>
      </c>
      <c r="R216" s="47" t="str">
        <f>'МРСК 2'!C219</f>
        <v>4+2,5</v>
      </c>
      <c r="S216" s="47">
        <f>'МРСК 2'!D219</f>
        <v>0.08</v>
      </c>
      <c r="T216" s="15">
        <f>'МРСК 2'!E219</f>
        <v>1.714353694889818</v>
      </c>
      <c r="U216" s="46">
        <f>'МРСК 2'!F219</f>
        <v>0.6514729199979921</v>
      </c>
      <c r="V216" s="16">
        <f>'МРСК 2'!G219</f>
        <v>80</v>
      </c>
      <c r="W216" s="46">
        <f>'МРСК 2'!H219</f>
        <v>1.0628807748918259</v>
      </c>
      <c r="X216" s="15">
        <f>'МРСК 2'!I219</f>
        <v>0</v>
      </c>
      <c r="Y216" s="48">
        <f>'МРСК 2'!J219</f>
        <v>2.625</v>
      </c>
      <c r="Z216" s="46">
        <f>'МРСК 2'!K219</f>
        <v>1.5621192251081741</v>
      </c>
      <c r="AA216" s="46" t="e">
        <f>'МРСК 2'!L219:L221</f>
        <v>#VALUE!</v>
      </c>
      <c r="AB216" s="34"/>
    </row>
    <row r="217" spans="1:28" ht="19.5">
      <c r="A217" s="14">
        <v>141</v>
      </c>
      <c r="B217" s="210" t="s">
        <v>202</v>
      </c>
      <c r="C217" s="47" t="str">
        <f>'МРСК 2'!C220</f>
        <v>4+4</v>
      </c>
      <c r="D217" s="47">
        <v>1328</v>
      </c>
      <c r="E217" s="47">
        <v>392</v>
      </c>
      <c r="F217" s="105">
        <f t="shared" si="10"/>
        <v>1.3846472474966323</v>
      </c>
      <c r="G217" s="46">
        <v>0.451</v>
      </c>
      <c r="H217" s="16">
        <v>120</v>
      </c>
      <c r="I217" s="46">
        <f t="shared" si="11"/>
        <v>0.9336472474966322</v>
      </c>
      <c r="J217" s="15">
        <v>0</v>
      </c>
      <c r="K217" s="45">
        <v>4.2</v>
      </c>
      <c r="L217" s="105">
        <v>3.266352752503368</v>
      </c>
      <c r="M217" s="46">
        <f t="shared" si="9"/>
        <v>3.266352752503368</v>
      </c>
      <c r="N217" s="34"/>
      <c r="P217" s="14">
        <v>141</v>
      </c>
      <c r="Q217" s="210" t="s">
        <v>202</v>
      </c>
      <c r="R217" s="47" t="str">
        <f>'МРСК 2'!C220</f>
        <v>4+4</v>
      </c>
      <c r="S217" s="47">
        <f>'МРСК 2'!D220</f>
        <v>0.055</v>
      </c>
      <c r="T217" s="15">
        <f>'МРСК 2'!E220</f>
        <v>1.4396472474966322</v>
      </c>
      <c r="U217" s="46">
        <f>'МРСК 2'!F220</f>
        <v>0.451</v>
      </c>
      <c r="V217" s="16">
        <f>'МРСК 2'!G220</f>
        <v>120</v>
      </c>
      <c r="W217" s="46">
        <f>'МРСК 2'!H220</f>
        <v>0.9886472474966321</v>
      </c>
      <c r="X217" s="15">
        <f>'МРСК 2'!I220</f>
        <v>0</v>
      </c>
      <c r="Y217" s="48">
        <f>'МРСК 2'!J220</f>
        <v>4.2</v>
      </c>
      <c r="Z217" s="46">
        <f>'МРСК 2'!K220</f>
        <v>3.211352752503368</v>
      </c>
      <c r="AA217" s="46" t="e">
        <f>'МРСК 2'!L220:L222</f>
        <v>#VALUE!</v>
      </c>
      <c r="AB217" s="34"/>
    </row>
    <row r="218" spans="1:28" ht="19.5">
      <c r="A218" s="14">
        <v>142</v>
      </c>
      <c r="B218" s="210" t="s">
        <v>203</v>
      </c>
      <c r="C218" s="47" t="str">
        <f>'МРСК 2'!C221</f>
        <v>2,5+2,5</v>
      </c>
      <c r="D218" s="47">
        <v>1888</v>
      </c>
      <c r="E218" s="47">
        <v>744</v>
      </c>
      <c r="F218" s="105">
        <f t="shared" si="10"/>
        <v>2.0293052998501726</v>
      </c>
      <c r="G218" s="46">
        <v>1.435432922178513</v>
      </c>
      <c r="H218" s="16">
        <v>80</v>
      </c>
      <c r="I218" s="46">
        <f t="shared" si="11"/>
        <v>0.5938723776716597</v>
      </c>
      <c r="J218" s="15">
        <v>0</v>
      </c>
      <c r="K218" s="45">
        <v>2.625</v>
      </c>
      <c r="L218" s="105">
        <v>2.0311276223283405</v>
      </c>
      <c r="M218" s="46">
        <f t="shared" si="9"/>
        <v>2.0311276223283405</v>
      </c>
      <c r="N218" s="34"/>
      <c r="P218" s="14">
        <v>142</v>
      </c>
      <c r="Q218" s="210" t="s">
        <v>203</v>
      </c>
      <c r="R218" s="47" t="str">
        <f>'МРСК 2'!C221</f>
        <v>2,5+2,5</v>
      </c>
      <c r="S218" s="47">
        <f>'МРСК 2'!D221</f>
        <v>0.168</v>
      </c>
      <c r="T218" s="15">
        <f>'МРСК 2'!E221</f>
        <v>2.1973052998501728</v>
      </c>
      <c r="U218" s="46">
        <f>'МРСК 2'!F221</f>
        <v>1.435432922178513</v>
      </c>
      <c r="V218" s="16">
        <f>'МРСК 2'!G221</f>
        <v>80</v>
      </c>
      <c r="W218" s="46">
        <f>'МРСК 2'!H221</f>
        <v>0.7618723776716598</v>
      </c>
      <c r="X218" s="15">
        <f>'МРСК 2'!I221</f>
        <v>0</v>
      </c>
      <c r="Y218" s="48">
        <f>'МРСК 2'!J221</f>
        <v>2.625</v>
      </c>
      <c r="Z218" s="46">
        <f>'МРСК 2'!K221</f>
        <v>1.8631276223283402</v>
      </c>
      <c r="AA218" s="46" t="e">
        <f>'МРСК 2'!L221:L223</f>
        <v>#VALUE!</v>
      </c>
      <c r="AB218" s="34"/>
    </row>
    <row r="219" spans="1:28" ht="19.5">
      <c r="A219" s="14">
        <v>143</v>
      </c>
      <c r="B219" s="210" t="s">
        <v>204</v>
      </c>
      <c r="C219" s="47" t="str">
        <f>'МРСК 2'!C222</f>
        <v>4+4</v>
      </c>
      <c r="D219" s="47">
        <v>2216</v>
      </c>
      <c r="E219" s="47">
        <v>964</v>
      </c>
      <c r="F219" s="105">
        <f t="shared" si="10"/>
        <v>2.4165992634278446</v>
      </c>
      <c r="G219" s="46">
        <v>1.7332102024177531</v>
      </c>
      <c r="H219" s="16">
        <v>80</v>
      </c>
      <c r="I219" s="46">
        <f t="shared" si="11"/>
        <v>0.6833890610100914</v>
      </c>
      <c r="J219" s="15">
        <v>0</v>
      </c>
      <c r="K219" s="45">
        <v>4.2</v>
      </c>
      <c r="L219" s="105">
        <v>3.516610938989909</v>
      </c>
      <c r="M219" s="46">
        <f aca="true" t="shared" si="12" ref="M219:M252">L219</f>
        <v>3.516610938989909</v>
      </c>
      <c r="N219" s="34"/>
      <c r="P219" s="14">
        <v>143</v>
      </c>
      <c r="Q219" s="210" t="s">
        <v>204</v>
      </c>
      <c r="R219" s="47" t="str">
        <f>'МРСК 2'!C222</f>
        <v>4+4</v>
      </c>
      <c r="S219" s="47">
        <f>'МРСК 2'!D222</f>
        <v>0</v>
      </c>
      <c r="T219" s="15">
        <f>'МРСК 2'!E222</f>
        <v>2.4165992634278446</v>
      </c>
      <c r="U219" s="46">
        <f>'МРСК 2'!F222</f>
        <v>1.7332102024177531</v>
      </c>
      <c r="V219" s="16">
        <f>'МРСК 2'!G222</f>
        <v>80</v>
      </c>
      <c r="W219" s="46">
        <f>'МРСК 2'!H222</f>
        <v>0.6833890610100914</v>
      </c>
      <c r="X219" s="15">
        <f>'МРСК 2'!I222</f>
        <v>0</v>
      </c>
      <c r="Y219" s="48">
        <f>'МРСК 2'!J222</f>
        <v>4.2</v>
      </c>
      <c r="Z219" s="46">
        <f>'МРСК 2'!K222</f>
        <v>3.516610938989909</v>
      </c>
      <c r="AA219" s="46" t="e">
        <f>'МРСК 2'!L222:L224</f>
        <v>#VALUE!</v>
      </c>
      <c r="AB219" s="34"/>
    </row>
    <row r="220" spans="1:28" ht="19.5">
      <c r="A220" s="14">
        <v>144</v>
      </c>
      <c r="B220" s="210" t="s">
        <v>205</v>
      </c>
      <c r="C220" s="47" t="str">
        <f>'МРСК 2'!C223</f>
        <v>6,3+6,3</v>
      </c>
      <c r="D220" s="47">
        <v>7040</v>
      </c>
      <c r="E220" s="47">
        <v>2384</v>
      </c>
      <c r="F220" s="105">
        <f t="shared" si="10"/>
        <v>7.432701796789644</v>
      </c>
      <c r="G220" s="46">
        <v>0.872</v>
      </c>
      <c r="H220" s="16">
        <v>80</v>
      </c>
      <c r="I220" s="46">
        <f t="shared" si="11"/>
        <v>6.560701796789644</v>
      </c>
      <c r="J220" s="15">
        <v>0</v>
      </c>
      <c r="K220" s="45">
        <v>6.615</v>
      </c>
      <c r="L220" s="105">
        <v>0.05429820321035628</v>
      </c>
      <c r="M220" s="46">
        <f t="shared" si="12"/>
        <v>0.05429820321035628</v>
      </c>
      <c r="N220" s="34"/>
      <c r="P220" s="14">
        <v>144</v>
      </c>
      <c r="Q220" s="209" t="s">
        <v>205</v>
      </c>
      <c r="R220" s="145" t="str">
        <f>'МРСК 2'!C223</f>
        <v>6,3+6,3</v>
      </c>
      <c r="S220" s="145">
        <f>'МРСК 2'!D223</f>
        <v>0.494</v>
      </c>
      <c r="T220" s="146">
        <f>'МРСК 2'!E223</f>
        <v>7.926701796789644</v>
      </c>
      <c r="U220" s="148">
        <f>'МРСК 2'!F223</f>
        <v>0.872</v>
      </c>
      <c r="V220" s="147">
        <f>'МРСК 2'!G223</f>
        <v>80</v>
      </c>
      <c r="W220" s="148">
        <f>'МРСК 2'!H223</f>
        <v>7.054701796789644</v>
      </c>
      <c r="X220" s="146">
        <f>'МРСК 2'!I223</f>
        <v>0</v>
      </c>
      <c r="Y220" s="170">
        <f>'МРСК 2'!J223</f>
        <v>6.615</v>
      </c>
      <c r="Z220" s="148">
        <f>'МРСК 2'!K223</f>
        <v>-0.4397017967896435</v>
      </c>
      <c r="AA220" s="148" t="e">
        <f>'МРСК 2'!L223:L225</f>
        <v>#VALUE!</v>
      </c>
      <c r="AB220" s="34"/>
    </row>
    <row r="221" spans="1:28" ht="19.5">
      <c r="A221" s="14">
        <v>145</v>
      </c>
      <c r="B221" s="210" t="s">
        <v>206</v>
      </c>
      <c r="C221" s="47" t="str">
        <f>'МРСК 2'!C224</f>
        <v>4+4</v>
      </c>
      <c r="D221" s="47">
        <v>2172</v>
      </c>
      <c r="E221" s="47">
        <v>768</v>
      </c>
      <c r="F221" s="105">
        <f t="shared" si="10"/>
        <v>2.3037812396145605</v>
      </c>
      <c r="G221" s="46">
        <v>0.553</v>
      </c>
      <c r="H221" s="16">
        <v>80</v>
      </c>
      <c r="I221" s="46">
        <f t="shared" si="11"/>
        <v>1.7507812396145606</v>
      </c>
      <c r="J221" s="15">
        <v>0</v>
      </c>
      <c r="K221" s="45">
        <v>4.2</v>
      </c>
      <c r="L221" s="105">
        <v>2.4492187603854396</v>
      </c>
      <c r="M221" s="46">
        <f t="shared" si="12"/>
        <v>2.4492187603854396</v>
      </c>
      <c r="N221" s="34"/>
      <c r="P221" s="14">
        <v>145</v>
      </c>
      <c r="Q221" s="210" t="s">
        <v>206</v>
      </c>
      <c r="R221" s="47" t="str">
        <f>'МРСК 2'!C224</f>
        <v>4+4</v>
      </c>
      <c r="S221" s="47">
        <f>'МРСК 2'!D224</f>
        <v>0.012</v>
      </c>
      <c r="T221" s="15">
        <f>'МРСК 2'!E224</f>
        <v>2.3157812396145605</v>
      </c>
      <c r="U221" s="46">
        <f>'МРСК 2'!F224</f>
        <v>0.553</v>
      </c>
      <c r="V221" s="16">
        <f>'МРСК 2'!G224</f>
        <v>80</v>
      </c>
      <c r="W221" s="46">
        <f>'МРСК 2'!H224</f>
        <v>1.7627812396145606</v>
      </c>
      <c r="X221" s="15">
        <f>'МРСК 2'!I224</f>
        <v>0</v>
      </c>
      <c r="Y221" s="48">
        <f>'МРСК 2'!J224</f>
        <v>4.2</v>
      </c>
      <c r="Z221" s="46">
        <f>'МРСК 2'!K224</f>
        <v>2.4372187603854396</v>
      </c>
      <c r="AA221" s="46" t="e">
        <f>'МРСК 2'!L224:L226</f>
        <v>#VALUE!</v>
      </c>
      <c r="AB221" s="34"/>
    </row>
    <row r="222" spans="1:28" ht="19.5">
      <c r="A222" s="14">
        <v>146</v>
      </c>
      <c r="B222" s="210" t="s">
        <v>207</v>
      </c>
      <c r="C222" s="47" t="str">
        <f>'МРСК 2'!C225</f>
        <v>2,5+2,5</v>
      </c>
      <c r="D222" s="47">
        <v>1528</v>
      </c>
      <c r="E222" s="47">
        <v>664</v>
      </c>
      <c r="F222" s="105">
        <f t="shared" si="10"/>
        <v>1.666037214470313</v>
      </c>
      <c r="G222" s="46">
        <v>1.1224919242012794</v>
      </c>
      <c r="H222" s="16">
        <v>45</v>
      </c>
      <c r="I222" s="46">
        <f t="shared" si="11"/>
        <v>0.5435452902690336</v>
      </c>
      <c r="J222" s="15">
        <v>0</v>
      </c>
      <c r="K222" s="45">
        <v>2.625</v>
      </c>
      <c r="L222" s="105">
        <v>2.0814547097309664</v>
      </c>
      <c r="M222" s="46">
        <f t="shared" si="12"/>
        <v>2.0814547097309664</v>
      </c>
      <c r="N222" s="34"/>
      <c r="P222" s="14">
        <v>146</v>
      </c>
      <c r="Q222" s="210" t="s">
        <v>207</v>
      </c>
      <c r="R222" s="47" t="str">
        <f>'МРСК 2'!C225</f>
        <v>2,5+2,5</v>
      </c>
      <c r="S222" s="47">
        <f>'МРСК 2'!D225</f>
        <v>0.42</v>
      </c>
      <c r="T222" s="15">
        <f>'МРСК 2'!E225</f>
        <v>2.086037214470313</v>
      </c>
      <c r="U222" s="46">
        <f>'МРСК 2'!F225</f>
        <v>1.1224919242012794</v>
      </c>
      <c r="V222" s="16">
        <f>'МРСК 2'!G225</f>
        <v>45</v>
      </c>
      <c r="W222" s="46">
        <f>'МРСК 2'!H225</f>
        <v>0.9635452902690338</v>
      </c>
      <c r="X222" s="15">
        <f>'МРСК 2'!I225</f>
        <v>0</v>
      </c>
      <c r="Y222" s="48">
        <f>'МРСК 2'!J225</f>
        <v>2.625</v>
      </c>
      <c r="Z222" s="46">
        <f>'МРСК 2'!K225</f>
        <v>1.6614547097309662</v>
      </c>
      <c r="AA222" s="46" t="e">
        <f>'МРСК 2'!L225:L227</f>
        <v>#VALUE!</v>
      </c>
      <c r="AB222" s="34"/>
    </row>
    <row r="223" spans="1:28" ht="19.5">
      <c r="A223" s="14">
        <v>147</v>
      </c>
      <c r="B223" s="210" t="s">
        <v>208</v>
      </c>
      <c r="C223" s="47" t="str">
        <f>'МРСК 2'!C226</f>
        <v>6,3+4</v>
      </c>
      <c r="D223" s="47">
        <v>1152</v>
      </c>
      <c r="E223" s="47">
        <v>528</v>
      </c>
      <c r="F223" s="105">
        <f t="shared" si="10"/>
        <v>1.2672363631146322</v>
      </c>
      <c r="G223" s="46">
        <v>0.6463610983551401</v>
      </c>
      <c r="H223" s="16">
        <v>80</v>
      </c>
      <c r="I223" s="46">
        <f t="shared" si="11"/>
        <v>0.6208752647594921</v>
      </c>
      <c r="J223" s="15">
        <v>0</v>
      </c>
      <c r="K223" s="45">
        <v>4.2</v>
      </c>
      <c r="L223" s="105">
        <v>3.5791247352405082</v>
      </c>
      <c r="M223" s="46">
        <f t="shared" si="12"/>
        <v>3.5791247352405082</v>
      </c>
      <c r="N223" s="34"/>
      <c r="P223" s="14">
        <v>147</v>
      </c>
      <c r="Q223" s="210" t="s">
        <v>208</v>
      </c>
      <c r="R223" s="47" t="str">
        <f>'МРСК 2'!C226</f>
        <v>6,3+4</v>
      </c>
      <c r="S223" s="47">
        <f>'МРСК 2'!D226</f>
        <v>1.03</v>
      </c>
      <c r="T223" s="15">
        <f>'МРСК 2'!E226</f>
        <v>2.2972363631146324</v>
      </c>
      <c r="U223" s="46">
        <f>'МРСК 2'!F226</f>
        <v>0.6463610983551401</v>
      </c>
      <c r="V223" s="16">
        <f>'МРСК 2'!G226</f>
        <v>80</v>
      </c>
      <c r="W223" s="46">
        <f>'МРСК 2'!H226</f>
        <v>1.6508752647594922</v>
      </c>
      <c r="X223" s="15">
        <f>'МРСК 2'!I226</f>
        <v>0</v>
      </c>
      <c r="Y223" s="48">
        <f>'МРСК 2'!J226</f>
        <v>4.2</v>
      </c>
      <c r="Z223" s="46">
        <f>'МРСК 2'!K226</f>
        <v>2.549124735240508</v>
      </c>
      <c r="AA223" s="46" t="e">
        <f>'МРСК 2'!L226:L228</f>
        <v>#VALUE!</v>
      </c>
      <c r="AB223" s="34"/>
    </row>
    <row r="224" spans="1:28" ht="19.5">
      <c r="A224" s="14">
        <v>148</v>
      </c>
      <c r="B224" s="210" t="s">
        <v>209</v>
      </c>
      <c r="C224" s="47" t="str">
        <f>'МРСК 2'!C227</f>
        <v>4+4</v>
      </c>
      <c r="D224" s="47">
        <v>2268</v>
      </c>
      <c r="E224" s="47">
        <v>780</v>
      </c>
      <c r="F224" s="105">
        <f t="shared" si="10"/>
        <v>2.398379452880632</v>
      </c>
      <c r="G224" s="46">
        <v>0</v>
      </c>
      <c r="H224" s="16"/>
      <c r="I224" s="46">
        <f t="shared" si="11"/>
        <v>2.398379452880632</v>
      </c>
      <c r="J224" s="15">
        <v>0</v>
      </c>
      <c r="K224" s="45">
        <v>4.2</v>
      </c>
      <c r="L224" s="105">
        <v>1.8016205471193683</v>
      </c>
      <c r="M224" s="46">
        <f t="shared" si="12"/>
        <v>1.8016205471193683</v>
      </c>
      <c r="N224" s="34"/>
      <c r="P224" s="14">
        <v>148</v>
      </c>
      <c r="Q224" s="210" t="s">
        <v>209</v>
      </c>
      <c r="R224" s="47" t="str">
        <f>'МРСК 2'!C227</f>
        <v>4+4</v>
      </c>
      <c r="S224" s="47">
        <f>'МРСК 2'!D227</f>
        <v>0.08499999999999999</v>
      </c>
      <c r="T224" s="15">
        <f>'МРСК 2'!E227</f>
        <v>2.483379452880632</v>
      </c>
      <c r="U224" s="46">
        <f>'МРСК 2'!F227</f>
        <v>0</v>
      </c>
      <c r="V224" s="16">
        <f>'МРСК 2'!G227</f>
        <v>0</v>
      </c>
      <c r="W224" s="46">
        <f>'МРСК 2'!H227</f>
        <v>2.483379452880632</v>
      </c>
      <c r="X224" s="15">
        <f>'МРСК 2'!I227</f>
        <v>0</v>
      </c>
      <c r="Y224" s="48">
        <f>'МРСК 2'!J227</f>
        <v>4.2</v>
      </c>
      <c r="Z224" s="46">
        <f>'МРСК 2'!K227</f>
        <v>1.7166205471193683</v>
      </c>
      <c r="AA224" s="46" t="e">
        <f>'МРСК 2'!L227:L229</f>
        <v>#VALUE!</v>
      </c>
      <c r="AB224" s="34"/>
    </row>
    <row r="225" spans="1:28" ht="19.5">
      <c r="A225" s="14">
        <v>149</v>
      </c>
      <c r="B225" s="210" t="s">
        <v>210</v>
      </c>
      <c r="C225" s="47" t="str">
        <f>'МРСК 2'!C228</f>
        <v>6,3+6,3</v>
      </c>
      <c r="D225" s="47">
        <v>5357</v>
      </c>
      <c r="E225" s="47">
        <v>2160</v>
      </c>
      <c r="F225" s="105">
        <f t="shared" si="10"/>
        <v>5.776075570835271</v>
      </c>
      <c r="G225" s="46">
        <v>0</v>
      </c>
      <c r="H225" s="16"/>
      <c r="I225" s="46">
        <f t="shared" si="11"/>
        <v>5.776075570835271</v>
      </c>
      <c r="J225" s="15">
        <v>0</v>
      </c>
      <c r="K225" s="45">
        <v>6.615</v>
      </c>
      <c r="L225" s="105">
        <v>0.8389244291647291</v>
      </c>
      <c r="M225" s="46">
        <f t="shared" si="12"/>
        <v>0.8389244291647291</v>
      </c>
      <c r="N225" s="34"/>
      <c r="P225" s="14">
        <v>149</v>
      </c>
      <c r="Q225" s="210" t="s">
        <v>210</v>
      </c>
      <c r="R225" s="47" t="str">
        <f>'МРСК 2'!C228</f>
        <v>6,3+6,3</v>
      </c>
      <c r="S225" s="47">
        <f>'МРСК 2'!D228</f>
        <v>0.04</v>
      </c>
      <c r="T225" s="15">
        <f>'МРСК 2'!E228</f>
        <v>5.816075570835271</v>
      </c>
      <c r="U225" s="46">
        <f>'МРСК 2'!F228</f>
        <v>0</v>
      </c>
      <c r="V225" s="16">
        <f>'МРСК 2'!G228</f>
        <v>0</v>
      </c>
      <c r="W225" s="46">
        <f>'МРСК 2'!H228</f>
        <v>5.816075570835271</v>
      </c>
      <c r="X225" s="15">
        <f>'МРСК 2'!I228</f>
        <v>0</v>
      </c>
      <c r="Y225" s="48">
        <f>'МРСК 2'!J228</f>
        <v>6.615</v>
      </c>
      <c r="Z225" s="46">
        <f>'МРСК 2'!K228</f>
        <v>0.798924429164729</v>
      </c>
      <c r="AA225" s="46" t="e">
        <f>'МРСК 2'!L228:L230</f>
        <v>#VALUE!</v>
      </c>
      <c r="AB225" s="34"/>
    </row>
    <row r="226" spans="1:28" ht="19.5">
      <c r="A226" s="14">
        <v>150</v>
      </c>
      <c r="B226" s="210" t="s">
        <v>211</v>
      </c>
      <c r="C226" s="47" t="str">
        <f>'МРСК 2'!C229</f>
        <v>2,5+2,5</v>
      </c>
      <c r="D226" s="47">
        <v>544</v>
      </c>
      <c r="E226" s="47">
        <v>360</v>
      </c>
      <c r="F226" s="105">
        <f t="shared" si="10"/>
        <v>0.652331204220678</v>
      </c>
      <c r="G226" s="46">
        <v>0.3763754343811262</v>
      </c>
      <c r="H226" s="16">
        <v>80</v>
      </c>
      <c r="I226" s="46">
        <f t="shared" si="11"/>
        <v>0.27595576983955183</v>
      </c>
      <c r="J226" s="15">
        <v>0</v>
      </c>
      <c r="K226" s="45">
        <v>2.625</v>
      </c>
      <c r="L226" s="105">
        <v>2.349044230160448</v>
      </c>
      <c r="M226" s="46">
        <f t="shared" si="12"/>
        <v>2.349044230160448</v>
      </c>
      <c r="N226" s="34"/>
      <c r="P226" s="14">
        <v>150</v>
      </c>
      <c r="Q226" s="210" t="s">
        <v>211</v>
      </c>
      <c r="R226" s="47" t="str">
        <f>'МРСК 2'!C229</f>
        <v>2,5+2,5</v>
      </c>
      <c r="S226" s="47">
        <f>'МРСК 2'!D229</f>
        <v>0</v>
      </c>
      <c r="T226" s="15">
        <f>'МРСК 2'!E229</f>
        <v>0.652331204220678</v>
      </c>
      <c r="U226" s="46">
        <f>'МРСК 2'!F229</f>
        <v>0.3763754343811262</v>
      </c>
      <c r="V226" s="16">
        <f>'МРСК 2'!G229</f>
        <v>80</v>
      </c>
      <c r="W226" s="46">
        <f>'МРСК 2'!H229</f>
        <v>0.27595576983955183</v>
      </c>
      <c r="X226" s="15">
        <f>'МРСК 2'!I229</f>
        <v>0</v>
      </c>
      <c r="Y226" s="48">
        <f>'МРСК 2'!J229</f>
        <v>2.625</v>
      </c>
      <c r="Z226" s="46">
        <f>'МРСК 2'!K229</f>
        <v>2.349044230160448</v>
      </c>
      <c r="AA226" s="46" t="e">
        <f>'МРСК 2'!L229:L231</f>
        <v>#VALUE!</v>
      </c>
      <c r="AB226" s="34"/>
    </row>
    <row r="227" spans="1:28" ht="19.5">
      <c r="A227" s="14">
        <v>151</v>
      </c>
      <c r="B227" s="210" t="s">
        <v>212</v>
      </c>
      <c r="C227" s="47" t="str">
        <f>'МРСК 2'!C230</f>
        <v>2,5+2,5</v>
      </c>
      <c r="D227" s="47">
        <v>1502</v>
      </c>
      <c r="E227" s="47">
        <v>424</v>
      </c>
      <c r="F227" s="105">
        <f t="shared" si="10"/>
        <v>1.5606985615422346</v>
      </c>
      <c r="G227" s="46">
        <v>0.352</v>
      </c>
      <c r="H227" s="16">
        <v>120</v>
      </c>
      <c r="I227" s="46">
        <f t="shared" si="11"/>
        <v>1.2086985615422345</v>
      </c>
      <c r="J227" s="15">
        <v>0</v>
      </c>
      <c r="K227" s="45">
        <v>2.625</v>
      </c>
      <c r="L227" s="105">
        <v>1.4163014384577655</v>
      </c>
      <c r="M227" s="46">
        <f t="shared" si="12"/>
        <v>1.4163014384577655</v>
      </c>
      <c r="N227" s="34"/>
      <c r="P227" s="14">
        <v>151</v>
      </c>
      <c r="Q227" s="210" t="s">
        <v>212</v>
      </c>
      <c r="R227" s="47" t="str">
        <f>'МРСК 2'!C230</f>
        <v>2,5+2,5</v>
      </c>
      <c r="S227" s="47">
        <f>'МРСК 2'!D230</f>
        <v>0.02</v>
      </c>
      <c r="T227" s="15">
        <f>'МРСК 2'!E230</f>
        <v>1.5806985615422346</v>
      </c>
      <c r="U227" s="46">
        <f>'МРСК 2'!F230</f>
        <v>0.352</v>
      </c>
      <c r="V227" s="16">
        <f>'МРСК 2'!G230</f>
        <v>120</v>
      </c>
      <c r="W227" s="46">
        <f>'МРСК 2'!H230</f>
        <v>1.2286985615422346</v>
      </c>
      <c r="X227" s="15">
        <f>'МРСК 2'!I230</f>
        <v>0</v>
      </c>
      <c r="Y227" s="48">
        <f>'МРСК 2'!J230</f>
        <v>2.625</v>
      </c>
      <c r="Z227" s="46">
        <f>'МРСК 2'!K230</f>
        <v>1.3963014384577654</v>
      </c>
      <c r="AA227" s="46" t="e">
        <f>'МРСК 2'!L230:L232</f>
        <v>#VALUE!</v>
      </c>
      <c r="AB227" s="34"/>
    </row>
    <row r="228" spans="1:28" ht="19.5">
      <c r="A228" s="14">
        <v>152</v>
      </c>
      <c r="B228" s="210" t="s">
        <v>213</v>
      </c>
      <c r="C228" s="47" t="str">
        <f>'МРСК 2'!C231</f>
        <v>6,3+6,3</v>
      </c>
      <c r="D228" s="47">
        <v>2624</v>
      </c>
      <c r="E228" s="47">
        <v>992</v>
      </c>
      <c r="F228" s="105">
        <f t="shared" si="10"/>
        <v>2.805252216824719</v>
      </c>
      <c r="G228" s="46">
        <v>0.164</v>
      </c>
      <c r="H228" s="16">
        <v>45</v>
      </c>
      <c r="I228" s="46">
        <f t="shared" si="11"/>
        <v>2.641252216824719</v>
      </c>
      <c r="J228" s="15">
        <v>0</v>
      </c>
      <c r="K228" s="45">
        <v>6.615</v>
      </c>
      <c r="L228" s="105">
        <v>3.9737477831752814</v>
      </c>
      <c r="M228" s="46">
        <f t="shared" si="12"/>
        <v>3.9737477831752814</v>
      </c>
      <c r="N228" s="34"/>
      <c r="P228" s="14">
        <v>152</v>
      </c>
      <c r="Q228" s="210" t="s">
        <v>213</v>
      </c>
      <c r="R228" s="47" t="str">
        <f>'МРСК 2'!C231</f>
        <v>6,3+6,3</v>
      </c>
      <c r="S228" s="47">
        <f>'МРСК 2'!D231</f>
        <v>0.09</v>
      </c>
      <c r="T228" s="15">
        <f>'МРСК 2'!E231</f>
        <v>2.895252216824719</v>
      </c>
      <c r="U228" s="46">
        <f>'МРСК 2'!F231</f>
        <v>0.164</v>
      </c>
      <c r="V228" s="16">
        <f>'МРСК 2'!G231</f>
        <v>45</v>
      </c>
      <c r="W228" s="46">
        <f>'МРСК 2'!H231</f>
        <v>2.7312522168247186</v>
      </c>
      <c r="X228" s="15">
        <f>'МРСК 2'!I231</f>
        <v>0</v>
      </c>
      <c r="Y228" s="48">
        <f>'МРСК 2'!J231</f>
        <v>6.615</v>
      </c>
      <c r="Z228" s="46">
        <f>'МРСК 2'!K231</f>
        <v>3.8837477831752816</v>
      </c>
      <c r="AA228" s="46" t="e">
        <f>'МРСК 2'!L231:L233</f>
        <v>#VALUE!</v>
      </c>
      <c r="AB228" s="34"/>
    </row>
    <row r="229" spans="1:28" ht="19.5">
      <c r="A229" s="14">
        <v>153</v>
      </c>
      <c r="B229" s="210" t="s">
        <v>214</v>
      </c>
      <c r="C229" s="47" t="str">
        <f>'МРСК 2'!C232</f>
        <v>2,5+2,5</v>
      </c>
      <c r="D229" s="47">
        <v>1314</v>
      </c>
      <c r="E229" s="47">
        <v>576</v>
      </c>
      <c r="F229" s="105">
        <f t="shared" si="10"/>
        <v>1.4347027566712207</v>
      </c>
      <c r="G229" s="46">
        <v>0.662</v>
      </c>
      <c r="H229" s="16">
        <v>80</v>
      </c>
      <c r="I229" s="46">
        <f t="shared" si="11"/>
        <v>0.7727027566712207</v>
      </c>
      <c r="J229" s="15">
        <v>0</v>
      </c>
      <c r="K229" s="45">
        <v>2.625</v>
      </c>
      <c r="L229" s="105">
        <v>1.8522972433287794</v>
      </c>
      <c r="M229" s="46">
        <f t="shared" si="12"/>
        <v>1.8522972433287794</v>
      </c>
      <c r="N229" s="34"/>
      <c r="P229" s="14">
        <v>153</v>
      </c>
      <c r="Q229" s="210" t="s">
        <v>214</v>
      </c>
      <c r="R229" s="47" t="str">
        <f>'МРСК 2'!C232</f>
        <v>2,5+2,5</v>
      </c>
      <c r="S229" s="47">
        <f>'МРСК 2'!D232</f>
        <v>0</v>
      </c>
      <c r="T229" s="15">
        <f>'МРСК 2'!E232</f>
        <v>1.4347027566712207</v>
      </c>
      <c r="U229" s="46">
        <f>'МРСК 2'!F232</f>
        <v>0.662</v>
      </c>
      <c r="V229" s="16">
        <f>'МРСК 2'!G232</f>
        <v>80</v>
      </c>
      <c r="W229" s="46">
        <f>'МРСК 2'!H232</f>
        <v>0.7727027566712207</v>
      </c>
      <c r="X229" s="15">
        <f>'МРСК 2'!I232</f>
        <v>0</v>
      </c>
      <c r="Y229" s="48">
        <f>'МРСК 2'!J232</f>
        <v>2.625</v>
      </c>
      <c r="Z229" s="46">
        <f>'МРСК 2'!K232</f>
        <v>1.8522972433287794</v>
      </c>
      <c r="AA229" s="46" t="e">
        <f>'МРСК 2'!L232:L234</f>
        <v>#VALUE!</v>
      </c>
      <c r="AB229" s="34"/>
    </row>
    <row r="230" spans="1:28" ht="19.5">
      <c r="A230" s="14">
        <v>154</v>
      </c>
      <c r="B230" s="210" t="s">
        <v>215</v>
      </c>
      <c r="C230" s="47" t="str">
        <f>'МРСК 2'!C233</f>
        <v>2,5+2,5</v>
      </c>
      <c r="D230" s="47">
        <v>1464</v>
      </c>
      <c r="E230" s="47">
        <v>736</v>
      </c>
      <c r="F230" s="105">
        <f t="shared" si="10"/>
        <v>1.6385945197027847</v>
      </c>
      <c r="G230" s="46">
        <v>0.8849109793349925</v>
      </c>
      <c r="H230" s="16">
        <v>80</v>
      </c>
      <c r="I230" s="46">
        <f t="shared" si="11"/>
        <v>0.7536835403677922</v>
      </c>
      <c r="J230" s="15">
        <v>0</v>
      </c>
      <c r="K230" s="45">
        <v>2.625</v>
      </c>
      <c r="L230" s="105">
        <v>1.8713164596322078</v>
      </c>
      <c r="M230" s="46">
        <f t="shared" si="12"/>
        <v>1.8713164596322078</v>
      </c>
      <c r="N230" s="34"/>
      <c r="P230" s="14">
        <v>154</v>
      </c>
      <c r="Q230" s="210" t="s">
        <v>215</v>
      </c>
      <c r="R230" s="47" t="str">
        <f>'МРСК 2'!C233</f>
        <v>2,5+2,5</v>
      </c>
      <c r="S230" s="47">
        <f>'МРСК 2'!D233</f>
        <v>0</v>
      </c>
      <c r="T230" s="15">
        <f>'МРСК 2'!E233</f>
        <v>1.6385945197027847</v>
      </c>
      <c r="U230" s="46">
        <f>'МРСК 2'!F233</f>
        <v>0.8849109793349925</v>
      </c>
      <c r="V230" s="16">
        <f>'МРСК 2'!G233</f>
        <v>80</v>
      </c>
      <c r="W230" s="46">
        <f>'МРСК 2'!H233</f>
        <v>0.7536835403677922</v>
      </c>
      <c r="X230" s="15">
        <f>'МРСК 2'!I233</f>
        <v>0</v>
      </c>
      <c r="Y230" s="48">
        <f>'МРСК 2'!J233</f>
        <v>2.625</v>
      </c>
      <c r="Z230" s="46">
        <f>'МРСК 2'!K233</f>
        <v>1.8713164596322078</v>
      </c>
      <c r="AA230" s="46" t="e">
        <f>'МРСК 2'!L233:L235</f>
        <v>#VALUE!</v>
      </c>
      <c r="AB230" s="34"/>
    </row>
    <row r="231" spans="1:28" ht="19.5">
      <c r="A231" s="14">
        <v>155</v>
      </c>
      <c r="B231" s="210" t="s">
        <v>216</v>
      </c>
      <c r="C231" s="47" t="str">
        <f>'МРСК 2'!C234</f>
        <v>10+10</v>
      </c>
      <c r="D231" s="47">
        <v>6576</v>
      </c>
      <c r="E231" s="47">
        <v>3408</v>
      </c>
      <c r="F231" s="105">
        <f t="shared" si="10"/>
        <v>7.40663486341807</v>
      </c>
      <c r="G231" s="46">
        <v>2.53</v>
      </c>
      <c r="H231" s="16">
        <v>45</v>
      </c>
      <c r="I231" s="46">
        <f t="shared" si="11"/>
        <v>4.8766348634180705</v>
      </c>
      <c r="J231" s="15">
        <v>0</v>
      </c>
      <c r="K231" s="45">
        <v>10.5</v>
      </c>
      <c r="L231" s="105">
        <v>5.6233651365819295</v>
      </c>
      <c r="M231" s="46">
        <f t="shared" si="12"/>
        <v>5.6233651365819295</v>
      </c>
      <c r="N231" s="34"/>
      <c r="P231" s="14">
        <v>155</v>
      </c>
      <c r="Q231" s="210" t="s">
        <v>216</v>
      </c>
      <c r="R231" s="47" t="str">
        <f>'МРСК 2'!C234</f>
        <v>10+10</v>
      </c>
      <c r="S231" s="47">
        <f>'МРСК 2'!D234</f>
        <v>0.135</v>
      </c>
      <c r="T231" s="15">
        <f>'МРСК 2'!E234</f>
        <v>7.54163486341807</v>
      </c>
      <c r="U231" s="46">
        <f>'МРСК 2'!F234</f>
        <v>2.53</v>
      </c>
      <c r="V231" s="16">
        <f>'МРСК 2'!G234</f>
        <v>45</v>
      </c>
      <c r="W231" s="46">
        <f>'МРСК 2'!H234</f>
        <v>5.01163486341807</v>
      </c>
      <c r="X231" s="15">
        <f>'МРСК 2'!I234</f>
        <v>0</v>
      </c>
      <c r="Y231" s="48">
        <f>'МРСК 2'!J234</f>
        <v>10.5</v>
      </c>
      <c r="Z231" s="46">
        <f>'МРСК 2'!K234</f>
        <v>5.48836513658193</v>
      </c>
      <c r="AA231" s="46" t="e">
        <f>'МРСК 2'!L234:L236</f>
        <v>#VALUE!</v>
      </c>
      <c r="AB231" s="34"/>
    </row>
    <row r="232" spans="1:28" ht="19.5">
      <c r="A232" s="14">
        <v>156</v>
      </c>
      <c r="B232" s="210" t="s">
        <v>217</v>
      </c>
      <c r="C232" s="47" t="str">
        <f>'МРСК 2'!C235</f>
        <v>4+4</v>
      </c>
      <c r="D232" s="47">
        <v>3240</v>
      </c>
      <c r="E232" s="47">
        <v>1272</v>
      </c>
      <c r="F232" s="105">
        <f t="shared" si="10"/>
        <v>3.4807447478951974</v>
      </c>
      <c r="G232" s="46">
        <v>1.7392964094713703</v>
      </c>
      <c r="H232" s="16">
        <v>120</v>
      </c>
      <c r="I232" s="46">
        <f t="shared" si="11"/>
        <v>1.741448338423827</v>
      </c>
      <c r="J232" s="15">
        <v>0</v>
      </c>
      <c r="K232" s="45">
        <v>4.2</v>
      </c>
      <c r="L232" s="105">
        <v>2.4585516615761733</v>
      </c>
      <c r="M232" s="46">
        <f t="shared" si="12"/>
        <v>2.4585516615761733</v>
      </c>
      <c r="N232" s="34"/>
      <c r="P232" s="14">
        <v>156</v>
      </c>
      <c r="Q232" s="210" t="s">
        <v>217</v>
      </c>
      <c r="R232" s="47" t="str">
        <f>'МРСК 2'!C235</f>
        <v>4+4</v>
      </c>
      <c r="S232" s="47">
        <f>'МРСК 2'!D235</f>
        <v>0</v>
      </c>
      <c r="T232" s="15">
        <f>'МРСК 2'!E235</f>
        <v>3.4807447478951974</v>
      </c>
      <c r="U232" s="46">
        <f>'МРСК 2'!F235</f>
        <v>1.7392964094713703</v>
      </c>
      <c r="V232" s="16">
        <f>'МРСК 2'!G235</f>
        <v>120</v>
      </c>
      <c r="W232" s="46">
        <f>'МРСК 2'!H235</f>
        <v>1.741448338423827</v>
      </c>
      <c r="X232" s="15">
        <f>'МРСК 2'!I235</f>
        <v>0</v>
      </c>
      <c r="Y232" s="48">
        <f>'МРСК 2'!J235</f>
        <v>4.2</v>
      </c>
      <c r="Z232" s="46">
        <f>'МРСК 2'!K235</f>
        <v>2.4585516615761733</v>
      </c>
      <c r="AA232" s="46" t="e">
        <f>'МРСК 2'!L235:L237</f>
        <v>#VALUE!</v>
      </c>
      <c r="AB232" s="34"/>
    </row>
    <row r="233" spans="1:28" ht="19.5">
      <c r="A233" s="14">
        <v>157</v>
      </c>
      <c r="B233" s="210" t="s">
        <v>218</v>
      </c>
      <c r="C233" s="47" t="str">
        <f>'МРСК 2'!C236</f>
        <v>2,5+2,5</v>
      </c>
      <c r="D233" s="47">
        <v>1536</v>
      </c>
      <c r="E233" s="47">
        <v>720</v>
      </c>
      <c r="F233" s="105">
        <f t="shared" si="10"/>
        <v>1.69637731651894</v>
      </c>
      <c r="G233" s="46">
        <v>0</v>
      </c>
      <c r="H233" s="16"/>
      <c r="I233" s="46">
        <f t="shared" si="11"/>
        <v>1.69637731651894</v>
      </c>
      <c r="J233" s="15">
        <v>0</v>
      </c>
      <c r="K233" s="45">
        <v>2.625</v>
      </c>
      <c r="L233" s="105">
        <v>0.92862268348106</v>
      </c>
      <c r="M233" s="46">
        <f t="shared" si="12"/>
        <v>0.92862268348106</v>
      </c>
      <c r="N233" s="34"/>
      <c r="P233" s="14">
        <v>157</v>
      </c>
      <c r="Q233" s="209" t="s">
        <v>218</v>
      </c>
      <c r="R233" s="145" t="str">
        <f>'МРСК 2'!C236</f>
        <v>2,5+2,5</v>
      </c>
      <c r="S233" s="145">
        <f>'МРСК 2'!D236</f>
        <v>1.433</v>
      </c>
      <c r="T233" s="146">
        <f>'МРСК 2'!E236</f>
        <v>3.12937731651894</v>
      </c>
      <c r="U233" s="148">
        <f>'МРСК 2'!F236</f>
        <v>0</v>
      </c>
      <c r="V233" s="147">
        <f>'МРСК 2'!G236</f>
        <v>0</v>
      </c>
      <c r="W233" s="148">
        <f>'МРСК 2'!H236</f>
        <v>3.12937731651894</v>
      </c>
      <c r="X233" s="146">
        <f>'МРСК 2'!I236</f>
        <v>0</v>
      </c>
      <c r="Y233" s="170">
        <f>'МРСК 2'!J236</f>
        <v>2.625</v>
      </c>
      <c r="Z233" s="148">
        <f>'МРСК 2'!K236</f>
        <v>-0.5043773165189398</v>
      </c>
      <c r="AA233" s="46" t="e">
        <f>'МРСК 2'!L236:L238</f>
        <v>#VALUE!</v>
      </c>
      <c r="AB233" s="34"/>
    </row>
    <row r="234" spans="1:28" ht="19.5">
      <c r="A234" s="14">
        <v>158</v>
      </c>
      <c r="B234" s="210" t="s">
        <v>219</v>
      </c>
      <c r="C234" s="47" t="str">
        <f>'МРСК 2'!C237</f>
        <v>2,5+2,5</v>
      </c>
      <c r="D234" s="47">
        <v>384</v>
      </c>
      <c r="E234" s="47">
        <v>192</v>
      </c>
      <c r="F234" s="105">
        <f t="shared" si="10"/>
        <v>0.42932505167995966</v>
      </c>
      <c r="G234" s="46">
        <v>0.2275127113166862</v>
      </c>
      <c r="H234" s="16">
        <v>120</v>
      </c>
      <c r="I234" s="46">
        <f t="shared" si="11"/>
        <v>0.20181234036327345</v>
      </c>
      <c r="J234" s="15">
        <v>0</v>
      </c>
      <c r="K234" s="45">
        <v>2.625</v>
      </c>
      <c r="L234" s="105">
        <v>2.4231876596367266</v>
      </c>
      <c r="M234" s="46">
        <f t="shared" si="12"/>
        <v>2.4231876596367266</v>
      </c>
      <c r="N234" s="34"/>
      <c r="P234" s="14">
        <v>158</v>
      </c>
      <c r="Q234" s="210" t="s">
        <v>219</v>
      </c>
      <c r="R234" s="47" t="str">
        <f>'МРСК 2'!C237</f>
        <v>2,5+2,5</v>
      </c>
      <c r="S234" s="47">
        <f>'МРСК 2'!D237</f>
        <v>0.015</v>
      </c>
      <c r="T234" s="15">
        <f>'МРСК 2'!E237</f>
        <v>0.44432505167995967</v>
      </c>
      <c r="U234" s="46">
        <f>'МРСК 2'!F237</f>
        <v>0.2275127113166862</v>
      </c>
      <c r="V234" s="16">
        <f>'МРСК 2'!G237</f>
        <v>120</v>
      </c>
      <c r="W234" s="46">
        <f>'МРСК 2'!H237</f>
        <v>0.21681234036327346</v>
      </c>
      <c r="X234" s="15">
        <f>'МРСК 2'!I237</f>
        <v>0</v>
      </c>
      <c r="Y234" s="48">
        <f>'МРСК 2'!J237</f>
        <v>2.625</v>
      </c>
      <c r="Z234" s="46">
        <f>'МРСК 2'!K237</f>
        <v>2.4081876596367264</v>
      </c>
      <c r="AA234" s="46" t="e">
        <f>'МРСК 2'!L237:L239</f>
        <v>#VALUE!</v>
      </c>
      <c r="AB234" s="34"/>
    </row>
    <row r="235" spans="1:28" ht="19.5">
      <c r="A235" s="14">
        <v>159</v>
      </c>
      <c r="B235" s="210" t="s">
        <v>220</v>
      </c>
      <c r="C235" s="47" t="str">
        <f>'МРСК 2'!C238</f>
        <v>6,3+6,3</v>
      </c>
      <c r="D235" s="47">
        <v>6264</v>
      </c>
      <c r="E235" s="47">
        <v>1887</v>
      </c>
      <c r="F235" s="105">
        <f t="shared" si="10"/>
        <v>6.542053576668415</v>
      </c>
      <c r="G235" s="46">
        <v>4.804906036985494</v>
      </c>
      <c r="H235" s="16">
        <v>120</v>
      </c>
      <c r="I235" s="46">
        <f t="shared" si="11"/>
        <v>1.7371475396829217</v>
      </c>
      <c r="J235" s="15">
        <v>0</v>
      </c>
      <c r="K235" s="45">
        <v>6.615</v>
      </c>
      <c r="L235" s="105">
        <v>4.8778524603170785</v>
      </c>
      <c r="M235" s="46">
        <f t="shared" si="12"/>
        <v>4.8778524603170785</v>
      </c>
      <c r="N235" s="34"/>
      <c r="P235" s="14">
        <v>159</v>
      </c>
      <c r="Q235" s="210" t="s">
        <v>220</v>
      </c>
      <c r="R235" s="47" t="str">
        <f>'МРСК 2'!C238</f>
        <v>6,3+6,3</v>
      </c>
      <c r="S235" s="47">
        <f>'МРСК 2'!D238</f>
        <v>0.0338</v>
      </c>
      <c r="T235" s="15">
        <f>'МРСК 2'!E238</f>
        <v>6.575853576668416</v>
      </c>
      <c r="U235" s="46">
        <f>'МРСК 2'!F238</f>
        <v>4.804906036985494</v>
      </c>
      <c r="V235" s="16">
        <f>'МРСК 2'!G238</f>
        <v>120</v>
      </c>
      <c r="W235" s="46">
        <f>'МРСК 2'!H238</f>
        <v>1.770947539682922</v>
      </c>
      <c r="X235" s="15">
        <f>'МРСК 2'!I238</f>
        <v>0</v>
      </c>
      <c r="Y235" s="48">
        <f>'МРСК 2'!J238</f>
        <v>6.615</v>
      </c>
      <c r="Z235" s="46">
        <f>'МРСК 2'!K238</f>
        <v>4.844052460317078</v>
      </c>
      <c r="AA235" s="46" t="e">
        <f>'МРСК 2'!L238:L240</f>
        <v>#VALUE!</v>
      </c>
      <c r="AB235" s="34"/>
    </row>
    <row r="236" spans="1:28" ht="19.5">
      <c r="A236" s="14">
        <v>160</v>
      </c>
      <c r="B236" s="210" t="s">
        <v>221</v>
      </c>
      <c r="C236" s="47" t="str">
        <f>'МРСК 2'!C239</f>
        <v>2,5+2,5</v>
      </c>
      <c r="D236" s="47">
        <v>1830</v>
      </c>
      <c r="E236" s="47">
        <v>852</v>
      </c>
      <c r="F236" s="105">
        <f t="shared" si="10"/>
        <v>2.018614376249213</v>
      </c>
      <c r="G236" s="46">
        <v>1.062118637441223</v>
      </c>
      <c r="H236" s="16">
        <v>80</v>
      </c>
      <c r="I236" s="46">
        <f t="shared" si="11"/>
        <v>0.95649573880799</v>
      </c>
      <c r="J236" s="15">
        <v>0</v>
      </c>
      <c r="K236" s="45">
        <v>2.625</v>
      </c>
      <c r="L236" s="105">
        <v>1.66850426119201</v>
      </c>
      <c r="M236" s="46">
        <f t="shared" si="12"/>
        <v>1.66850426119201</v>
      </c>
      <c r="N236" s="34"/>
      <c r="P236" s="14">
        <v>160</v>
      </c>
      <c r="Q236" s="210" t="s">
        <v>221</v>
      </c>
      <c r="R236" s="47" t="str">
        <f>'МРСК 2'!C239</f>
        <v>2,5+2,5</v>
      </c>
      <c r="S236" s="47">
        <f>'МРСК 2'!D239</f>
        <v>0.035</v>
      </c>
      <c r="T236" s="15">
        <f>'МРСК 2'!E239</f>
        <v>2.053614376249213</v>
      </c>
      <c r="U236" s="46">
        <f>'МРСК 2'!F239</f>
        <v>1.062118637441223</v>
      </c>
      <c r="V236" s="16">
        <f>'МРСК 2'!G239</f>
        <v>80</v>
      </c>
      <c r="W236" s="46">
        <f>'МРСК 2'!H239</f>
        <v>0.9914957388079901</v>
      </c>
      <c r="X236" s="15">
        <f>'МРСК 2'!I239</f>
        <v>0</v>
      </c>
      <c r="Y236" s="48">
        <f>'МРСК 2'!J239</f>
        <v>2.625</v>
      </c>
      <c r="Z236" s="46">
        <f>'МРСК 2'!K239</f>
        <v>1.6335042611920099</v>
      </c>
      <c r="AA236" s="46" t="e">
        <f>'МРСК 2'!L239:L241</f>
        <v>#VALUE!</v>
      </c>
      <c r="AB236" s="34"/>
    </row>
    <row r="237" spans="1:28" ht="19.5">
      <c r="A237" s="14">
        <v>161</v>
      </c>
      <c r="B237" s="210" t="s">
        <v>222</v>
      </c>
      <c r="C237" s="47" t="str">
        <f>'МРСК 2'!C240</f>
        <v>4+4</v>
      </c>
      <c r="D237" s="47">
        <v>2224</v>
      </c>
      <c r="E237" s="47">
        <v>1392</v>
      </c>
      <c r="F237" s="105">
        <f t="shared" si="10"/>
        <v>2.6237073007483134</v>
      </c>
      <c r="G237" s="46">
        <v>1.1305772892533212</v>
      </c>
      <c r="H237" s="16">
        <v>120</v>
      </c>
      <c r="I237" s="46">
        <f t="shared" si="11"/>
        <v>1.4931300114949921</v>
      </c>
      <c r="J237" s="15">
        <v>0</v>
      </c>
      <c r="K237" s="45">
        <v>4.2</v>
      </c>
      <c r="L237" s="105">
        <v>2.706869988505008</v>
      </c>
      <c r="M237" s="46">
        <f t="shared" si="12"/>
        <v>2.706869988505008</v>
      </c>
      <c r="N237" s="34"/>
      <c r="P237" s="14">
        <v>161</v>
      </c>
      <c r="Q237" s="210" t="s">
        <v>222</v>
      </c>
      <c r="R237" s="47" t="str">
        <f>'МРСК 2'!C240</f>
        <v>4+4</v>
      </c>
      <c r="S237" s="47">
        <f>'МРСК 2'!D240</f>
        <v>0.85</v>
      </c>
      <c r="T237" s="15">
        <f>'МРСК 2'!E240</f>
        <v>3.4737073007483135</v>
      </c>
      <c r="U237" s="46">
        <f>'МРСК 2'!F240</f>
        <v>1.1305772892533212</v>
      </c>
      <c r="V237" s="16">
        <f>'МРСК 2'!G240</f>
        <v>120</v>
      </c>
      <c r="W237" s="46">
        <f>'МРСК 2'!H240</f>
        <v>2.343130011494992</v>
      </c>
      <c r="X237" s="15">
        <f>'МРСК 2'!I240</f>
        <v>0</v>
      </c>
      <c r="Y237" s="48">
        <f>'МРСК 2'!J240</f>
        <v>4.2</v>
      </c>
      <c r="Z237" s="46">
        <f>'МРСК 2'!K240</f>
        <v>1.8568699885050082</v>
      </c>
      <c r="AA237" s="46" t="e">
        <f>'МРСК 2'!L240:L242</f>
        <v>#VALUE!</v>
      </c>
      <c r="AB237" s="34"/>
    </row>
    <row r="238" spans="1:28" ht="19.5">
      <c r="A238" s="14">
        <v>162</v>
      </c>
      <c r="B238" s="210" t="s">
        <v>223</v>
      </c>
      <c r="C238" s="47" t="str">
        <f>'МРСК 2'!C241</f>
        <v>16+16</v>
      </c>
      <c r="D238" s="47">
        <v>11806</v>
      </c>
      <c r="E238" s="47">
        <v>4574</v>
      </c>
      <c r="F238" s="105">
        <f t="shared" si="10"/>
        <v>12.661086525255248</v>
      </c>
      <c r="G238" s="46">
        <v>1.21</v>
      </c>
      <c r="H238" s="16">
        <v>80</v>
      </c>
      <c r="I238" s="46">
        <f t="shared" si="11"/>
        <v>11.45108652525525</v>
      </c>
      <c r="J238" s="15">
        <v>0</v>
      </c>
      <c r="K238" s="45">
        <v>16.8</v>
      </c>
      <c r="L238" s="105">
        <v>5.3489134747447515</v>
      </c>
      <c r="M238" s="46">
        <f t="shared" si="12"/>
        <v>5.3489134747447515</v>
      </c>
      <c r="N238" s="34"/>
      <c r="P238" s="14">
        <v>162</v>
      </c>
      <c r="Q238" s="210" t="s">
        <v>223</v>
      </c>
      <c r="R238" s="47" t="str">
        <f>'МРСК 2'!C241</f>
        <v>16+16</v>
      </c>
      <c r="S238" s="47">
        <f>'МРСК 2'!D241</f>
        <v>0.20900000000000002</v>
      </c>
      <c r="T238" s="15">
        <f>'МРСК 2'!E241</f>
        <v>12.870086525255248</v>
      </c>
      <c r="U238" s="46">
        <f>'МРСК 2'!F241</f>
        <v>1.21</v>
      </c>
      <c r="V238" s="16">
        <f>'МРСК 2'!G241</f>
        <v>80</v>
      </c>
      <c r="W238" s="46">
        <f>'МРСК 2'!H241</f>
        <v>11.660086525255249</v>
      </c>
      <c r="X238" s="15">
        <f>'МРСК 2'!I241</f>
        <v>0</v>
      </c>
      <c r="Y238" s="48">
        <f>'МРСК 2'!J241</f>
        <v>16.8</v>
      </c>
      <c r="Z238" s="46">
        <f>'МРСК 2'!K241</f>
        <v>5.139913474744752</v>
      </c>
      <c r="AA238" s="46" t="e">
        <f>'МРСК 2'!L241:L243</f>
        <v>#VALUE!</v>
      </c>
      <c r="AB238" s="34"/>
    </row>
    <row r="239" spans="1:28" ht="19.5">
      <c r="A239" s="14">
        <v>163</v>
      </c>
      <c r="B239" s="210" t="s">
        <v>224</v>
      </c>
      <c r="C239" s="47" t="str">
        <f>'МРСК 2'!C242</f>
        <v>4+4</v>
      </c>
      <c r="D239" s="47">
        <v>1464</v>
      </c>
      <c r="E239" s="47">
        <v>660</v>
      </c>
      <c r="F239" s="105">
        <f t="shared" si="10"/>
        <v>1.6058941434602718</v>
      </c>
      <c r="G239" s="46">
        <v>1.3453007325017299</v>
      </c>
      <c r="H239" s="16">
        <v>45</v>
      </c>
      <c r="I239" s="46">
        <f t="shared" si="11"/>
        <v>0.26059341095854194</v>
      </c>
      <c r="J239" s="15">
        <v>0</v>
      </c>
      <c r="K239" s="45">
        <v>4.2</v>
      </c>
      <c r="L239" s="105">
        <v>3.9394065890414582</v>
      </c>
      <c r="M239" s="46">
        <f t="shared" si="12"/>
        <v>3.9394065890414582</v>
      </c>
      <c r="N239" s="34"/>
      <c r="P239" s="14">
        <v>163</v>
      </c>
      <c r="Q239" s="210" t="s">
        <v>224</v>
      </c>
      <c r="R239" s="47" t="str">
        <f>'МРСК 2'!C242</f>
        <v>4+4</v>
      </c>
      <c r="S239" s="47">
        <f>'МРСК 2'!D242</f>
        <v>0</v>
      </c>
      <c r="T239" s="15">
        <f>'МРСК 2'!E242</f>
        <v>1.6058941434602718</v>
      </c>
      <c r="U239" s="46">
        <f>'МРСК 2'!F242</f>
        <v>1.3453007325017299</v>
      </c>
      <c r="V239" s="16">
        <f>'МРСК 2'!G242</f>
        <v>45</v>
      </c>
      <c r="W239" s="46">
        <f>'МРСК 2'!H242</f>
        <v>0.26059341095854194</v>
      </c>
      <c r="X239" s="15">
        <f>'МРСК 2'!I242</f>
        <v>0</v>
      </c>
      <c r="Y239" s="48">
        <f>'МРСК 2'!J242</f>
        <v>4.2</v>
      </c>
      <c r="Z239" s="46">
        <f>'МРСК 2'!K242</f>
        <v>3.9394065890414582</v>
      </c>
      <c r="AA239" s="46" t="e">
        <f>'МРСК 2'!L242:L244</f>
        <v>#VALUE!</v>
      </c>
      <c r="AB239" s="34"/>
    </row>
    <row r="240" spans="1:28" ht="19.5">
      <c r="A240" s="14">
        <v>164</v>
      </c>
      <c r="B240" s="210" t="s">
        <v>225</v>
      </c>
      <c r="C240" s="47" t="str">
        <f>'МРСК 2'!C243</f>
        <v>10+10</v>
      </c>
      <c r="D240" s="47">
        <v>8592</v>
      </c>
      <c r="E240" s="47">
        <v>1296</v>
      </c>
      <c r="F240" s="105">
        <f t="shared" si="10"/>
        <v>8.689193288217268</v>
      </c>
      <c r="G240" s="46">
        <v>0.531</v>
      </c>
      <c r="H240" s="16">
        <v>45</v>
      </c>
      <c r="I240" s="46">
        <f t="shared" si="11"/>
        <v>8.158193288217268</v>
      </c>
      <c r="J240" s="15">
        <v>0</v>
      </c>
      <c r="K240" s="45">
        <v>10.5</v>
      </c>
      <c r="L240" s="105">
        <v>2.3418067117827324</v>
      </c>
      <c r="M240" s="46">
        <f t="shared" si="12"/>
        <v>2.3418067117827324</v>
      </c>
      <c r="N240" s="34"/>
      <c r="P240" s="14">
        <v>164</v>
      </c>
      <c r="Q240" s="210" t="s">
        <v>225</v>
      </c>
      <c r="R240" s="47" t="str">
        <f>'МРСК 2'!C243</f>
        <v>10+10</v>
      </c>
      <c r="S240" s="47">
        <f>'МРСК 2'!D243</f>
        <v>1.157</v>
      </c>
      <c r="T240" s="15">
        <f>'МРСК 2'!E243</f>
        <v>9.846193288217268</v>
      </c>
      <c r="U240" s="46">
        <f>'МРСК 2'!F243</f>
        <v>0.531</v>
      </c>
      <c r="V240" s="16">
        <f>'МРСК 2'!G243</f>
        <v>45</v>
      </c>
      <c r="W240" s="46">
        <f>'МРСК 2'!H243</f>
        <v>9.315193288217268</v>
      </c>
      <c r="X240" s="15">
        <f>'МРСК 2'!I243</f>
        <v>0</v>
      </c>
      <c r="Y240" s="48">
        <f>'МРСК 2'!J243</f>
        <v>10.5</v>
      </c>
      <c r="Z240" s="46">
        <f>'МРСК 2'!K243</f>
        <v>1.1848067117827323</v>
      </c>
      <c r="AA240" s="46" t="e">
        <f>'МРСК 2'!L243:L245</f>
        <v>#VALUE!</v>
      </c>
      <c r="AB240" s="34"/>
    </row>
    <row r="241" spans="1:28" ht="19.5">
      <c r="A241" s="14">
        <v>165</v>
      </c>
      <c r="B241" s="210" t="s">
        <v>226</v>
      </c>
      <c r="C241" s="47" t="str">
        <f>'МРСК 2'!C244</f>
        <v>2,5+2,5</v>
      </c>
      <c r="D241" s="47">
        <v>1116</v>
      </c>
      <c r="E241" s="47">
        <v>636</v>
      </c>
      <c r="F241" s="105">
        <f aca="true" t="shared" si="13" ref="F241:F252">SQRT(D241*D241+E241*E241)/1000</f>
        <v>1.2845045737559677</v>
      </c>
      <c r="G241" s="46">
        <v>0.4497830700715363</v>
      </c>
      <c r="H241" s="16">
        <v>80</v>
      </c>
      <c r="I241" s="46">
        <f t="shared" si="11"/>
        <v>0.8347215036844314</v>
      </c>
      <c r="J241" s="15">
        <v>0</v>
      </c>
      <c r="K241" s="45">
        <v>2.625</v>
      </c>
      <c r="L241" s="105">
        <v>1.7902784963155685</v>
      </c>
      <c r="M241" s="46">
        <f t="shared" si="12"/>
        <v>1.7902784963155685</v>
      </c>
      <c r="N241" s="34"/>
      <c r="P241" s="14">
        <v>165</v>
      </c>
      <c r="Q241" s="210" t="s">
        <v>226</v>
      </c>
      <c r="R241" s="47" t="str">
        <f>'МРСК 2'!C244</f>
        <v>2,5+2,5</v>
      </c>
      <c r="S241" s="47">
        <f>'МРСК 2'!D244</f>
        <v>0</v>
      </c>
      <c r="T241" s="15">
        <f>'МРСК 2'!E244</f>
        <v>1.2845045737559677</v>
      </c>
      <c r="U241" s="46">
        <f>'МРСК 2'!F244</f>
        <v>0.4497830700715363</v>
      </c>
      <c r="V241" s="16">
        <f>'МРСК 2'!G244</f>
        <v>80</v>
      </c>
      <c r="W241" s="46">
        <f>'МРСК 2'!H244</f>
        <v>0.8347215036844314</v>
      </c>
      <c r="X241" s="15">
        <f>'МРСК 2'!I244</f>
        <v>0</v>
      </c>
      <c r="Y241" s="48">
        <f>'МРСК 2'!J244</f>
        <v>2.625</v>
      </c>
      <c r="Z241" s="46">
        <f>'МРСК 2'!K244</f>
        <v>1.7902784963155685</v>
      </c>
      <c r="AA241" s="46" t="e">
        <f>'МРСК 2'!L244:L246</f>
        <v>#VALUE!</v>
      </c>
      <c r="AB241" s="34"/>
    </row>
    <row r="242" spans="1:28" ht="19.5">
      <c r="A242" s="14">
        <v>166</v>
      </c>
      <c r="B242" s="210" t="s">
        <v>227</v>
      </c>
      <c r="C242" s="47" t="str">
        <f>'МРСК 2'!C245</f>
        <v>6,3+6,3</v>
      </c>
      <c r="D242" s="47">
        <v>4776</v>
      </c>
      <c r="E242" s="47">
        <v>1524</v>
      </c>
      <c r="F242" s="105">
        <f t="shared" si="13"/>
        <v>5.0132576235418025</v>
      </c>
      <c r="G242" s="46">
        <v>1.39</v>
      </c>
      <c r="H242" s="16">
        <v>120</v>
      </c>
      <c r="I242" s="46">
        <f aca="true" t="shared" si="14" ref="I242:I252">F242-G242</f>
        <v>3.623257623541803</v>
      </c>
      <c r="J242" s="15">
        <v>0</v>
      </c>
      <c r="K242" s="45">
        <v>6.615</v>
      </c>
      <c r="L242" s="105">
        <v>2.9917423764581974</v>
      </c>
      <c r="M242" s="46">
        <f t="shared" si="12"/>
        <v>2.9917423764581974</v>
      </c>
      <c r="N242" s="34"/>
      <c r="P242" s="14">
        <v>166</v>
      </c>
      <c r="Q242" s="210" t="s">
        <v>227</v>
      </c>
      <c r="R242" s="47" t="str">
        <f>'МРСК 2'!C245</f>
        <v>6,3+6,3</v>
      </c>
      <c r="S242" s="47">
        <f>'МРСК 2'!D245</f>
        <v>0.13</v>
      </c>
      <c r="T242" s="15">
        <f>'МРСК 2'!E245</f>
        <v>5.143257623541802</v>
      </c>
      <c r="U242" s="46">
        <f>'МРСК 2'!F245</f>
        <v>1.39</v>
      </c>
      <c r="V242" s="16">
        <f>'МРСК 2'!G245</f>
        <v>120</v>
      </c>
      <c r="W242" s="46">
        <f>'МРСК 2'!H245</f>
        <v>3.7532576235418027</v>
      </c>
      <c r="X242" s="15">
        <f>'МРСК 2'!I245</f>
        <v>0</v>
      </c>
      <c r="Y242" s="48">
        <f>'МРСК 2'!J245</f>
        <v>6.615</v>
      </c>
      <c r="Z242" s="46">
        <f>'МРСК 2'!K245</f>
        <v>2.8617423764581975</v>
      </c>
      <c r="AA242" s="46" t="e">
        <f>'МРСК 2'!L245:L247</f>
        <v>#VALUE!</v>
      </c>
      <c r="AB242" s="34"/>
    </row>
    <row r="243" spans="1:28" ht="19.5">
      <c r="A243" s="14">
        <v>167</v>
      </c>
      <c r="B243" s="210" t="s">
        <v>228</v>
      </c>
      <c r="C243" s="47" t="str">
        <f>'МРСК 2'!C246</f>
        <v>1,6+2,5</v>
      </c>
      <c r="D243" s="47">
        <v>682</v>
      </c>
      <c r="E243" s="47">
        <v>272</v>
      </c>
      <c r="F243" s="105">
        <f t="shared" si="13"/>
        <v>0.7342397428633239</v>
      </c>
      <c r="G243" s="46">
        <v>0.4724167338631652</v>
      </c>
      <c r="H243" s="16">
        <v>80</v>
      </c>
      <c r="I243" s="46">
        <f t="shared" si="14"/>
        <v>0.26182300900015876</v>
      </c>
      <c r="J243" s="15">
        <v>0</v>
      </c>
      <c r="K243" s="45">
        <v>1.6800000000000002</v>
      </c>
      <c r="L243" s="105">
        <v>1.4181769909998414</v>
      </c>
      <c r="M243" s="46">
        <f t="shared" si="12"/>
        <v>1.4181769909998414</v>
      </c>
      <c r="N243" s="34"/>
      <c r="P243" s="14">
        <v>167</v>
      </c>
      <c r="Q243" s="210" t="s">
        <v>228</v>
      </c>
      <c r="R243" s="47" t="str">
        <f>'МРСК 2'!C246</f>
        <v>1,6+2,5</v>
      </c>
      <c r="S243" s="47">
        <f>'МРСК 2'!D246</f>
        <v>0</v>
      </c>
      <c r="T243" s="15">
        <f>'МРСК 2'!E246</f>
        <v>0.7342397428633239</v>
      </c>
      <c r="U243" s="46">
        <f>'МРСК 2'!F246</f>
        <v>0.4724167338631652</v>
      </c>
      <c r="V243" s="16">
        <f>'МРСК 2'!G246</f>
        <v>80</v>
      </c>
      <c r="W243" s="46">
        <f>'МРСК 2'!H246</f>
        <v>0.26182300900015876</v>
      </c>
      <c r="X243" s="15">
        <f>'МРСК 2'!I246</f>
        <v>0</v>
      </c>
      <c r="Y243" s="48">
        <f>'МРСК 2'!J246</f>
        <v>1.6800000000000002</v>
      </c>
      <c r="Z243" s="46">
        <f>'МРСК 2'!K246</f>
        <v>1.4181769909998414</v>
      </c>
      <c r="AA243" s="46" t="e">
        <f>'МРСК 2'!L246:L248</f>
        <v>#VALUE!</v>
      </c>
      <c r="AB243" s="34"/>
    </row>
    <row r="244" spans="1:28" ht="19.5">
      <c r="A244" s="14">
        <v>168</v>
      </c>
      <c r="B244" s="210" t="s">
        <v>229</v>
      </c>
      <c r="C244" s="47" t="str">
        <f>'МРСК 2'!C247</f>
        <v>4+4</v>
      </c>
      <c r="D244" s="47">
        <v>2160</v>
      </c>
      <c r="E244" s="47">
        <v>682</v>
      </c>
      <c r="F244" s="105">
        <f t="shared" si="13"/>
        <v>2.2651101518469248</v>
      </c>
      <c r="G244" s="46">
        <v>0</v>
      </c>
      <c r="H244" s="16"/>
      <c r="I244" s="46">
        <f t="shared" si="14"/>
        <v>2.2651101518469248</v>
      </c>
      <c r="J244" s="15">
        <v>0</v>
      </c>
      <c r="K244" s="45">
        <v>4.2</v>
      </c>
      <c r="L244" s="105">
        <v>1.9348898481530754</v>
      </c>
      <c r="M244" s="46">
        <f t="shared" si="12"/>
        <v>1.9348898481530754</v>
      </c>
      <c r="N244" s="34"/>
      <c r="P244" s="14">
        <v>168</v>
      </c>
      <c r="Q244" s="210" t="s">
        <v>229</v>
      </c>
      <c r="R244" s="47" t="str">
        <f>'МРСК 2'!C247</f>
        <v>4+4</v>
      </c>
      <c r="S244" s="47">
        <f>'МРСК 2'!D247</f>
        <v>0.06999999999999999</v>
      </c>
      <c r="T244" s="15">
        <f>'МРСК 2'!E247</f>
        <v>2.3351101518469246</v>
      </c>
      <c r="U244" s="46">
        <f>'МРСК 2'!F247</f>
        <v>0</v>
      </c>
      <c r="V244" s="16">
        <f>'МРСК 2'!G247</f>
        <v>0</v>
      </c>
      <c r="W244" s="46">
        <f>'МРСК 2'!H247</f>
        <v>2.3351101518469246</v>
      </c>
      <c r="X244" s="15">
        <f>'МРСК 2'!I247</f>
        <v>0</v>
      </c>
      <c r="Y244" s="48">
        <f>'МРСК 2'!J247</f>
        <v>4.2</v>
      </c>
      <c r="Z244" s="46">
        <f>'МРСК 2'!K247</f>
        <v>1.8648898481530756</v>
      </c>
      <c r="AA244" s="46" t="e">
        <f>'МРСК 2'!L247:L249</f>
        <v>#VALUE!</v>
      </c>
      <c r="AB244" s="34"/>
    </row>
    <row r="245" spans="1:28" ht="19.5">
      <c r="A245" s="14">
        <v>169</v>
      </c>
      <c r="B245" s="210" t="s">
        <v>230</v>
      </c>
      <c r="C245" s="47" t="str">
        <f>'МРСК 2'!C248</f>
        <v>1,6+2,5</v>
      </c>
      <c r="D245" s="47">
        <v>980</v>
      </c>
      <c r="E245" s="47">
        <v>408</v>
      </c>
      <c r="F245" s="105">
        <f t="shared" si="13"/>
        <v>1.0615385061315488</v>
      </c>
      <c r="G245" s="46">
        <v>0.7868064298244878</v>
      </c>
      <c r="H245" s="16">
        <v>45</v>
      </c>
      <c r="I245" s="46">
        <f t="shared" si="14"/>
        <v>0.274732076307061</v>
      </c>
      <c r="J245" s="15">
        <v>0</v>
      </c>
      <c r="K245" s="45">
        <v>1.6800000000000002</v>
      </c>
      <c r="L245" s="105">
        <v>1.4052679236929393</v>
      </c>
      <c r="M245" s="46">
        <f t="shared" si="12"/>
        <v>1.4052679236929393</v>
      </c>
      <c r="N245" s="34"/>
      <c r="P245" s="14">
        <v>169</v>
      </c>
      <c r="Q245" s="210" t="s">
        <v>230</v>
      </c>
      <c r="R245" s="47" t="str">
        <f>'МРСК 2'!C248</f>
        <v>1,6+2,5</v>
      </c>
      <c r="S245" s="47">
        <f>'МРСК 2'!D248</f>
        <v>0.01</v>
      </c>
      <c r="T245" s="15">
        <f>'МРСК 2'!E248</f>
        <v>1.0715385061315488</v>
      </c>
      <c r="U245" s="46">
        <f>'МРСК 2'!F248</f>
        <v>0.7868064298244878</v>
      </c>
      <c r="V245" s="16">
        <f>'МРСК 2'!G248</f>
        <v>45</v>
      </c>
      <c r="W245" s="46">
        <f>'МРСК 2'!H248</f>
        <v>0.284732076307061</v>
      </c>
      <c r="X245" s="15">
        <f>'МРСК 2'!I248</f>
        <v>0</v>
      </c>
      <c r="Y245" s="48">
        <f>'МРСК 2'!J248</f>
        <v>1.6800000000000002</v>
      </c>
      <c r="Z245" s="46">
        <f>'МРСК 2'!K248</f>
        <v>1.395267923692939</v>
      </c>
      <c r="AA245" s="46" t="e">
        <f>'МРСК 2'!L248:L250</f>
        <v>#VALUE!</v>
      </c>
      <c r="AB245" s="34"/>
    </row>
    <row r="246" spans="1:28" ht="19.5">
      <c r="A246" s="14">
        <v>170</v>
      </c>
      <c r="B246" s="210" t="s">
        <v>231</v>
      </c>
      <c r="C246" s="47" t="str">
        <f>'МРСК 2'!C249</f>
        <v>4+4</v>
      </c>
      <c r="D246" s="47">
        <v>1708</v>
      </c>
      <c r="E246" s="47">
        <v>516</v>
      </c>
      <c r="F246" s="105">
        <f t="shared" si="13"/>
        <v>1.7842421360342322</v>
      </c>
      <c r="G246" s="46">
        <v>0</v>
      </c>
      <c r="H246" s="16"/>
      <c r="I246" s="46">
        <f t="shared" si="14"/>
        <v>1.7842421360342322</v>
      </c>
      <c r="J246" s="15">
        <v>0</v>
      </c>
      <c r="K246" s="45">
        <v>4.2</v>
      </c>
      <c r="L246" s="105">
        <v>2.415757863965768</v>
      </c>
      <c r="M246" s="46">
        <f t="shared" si="12"/>
        <v>2.415757863965768</v>
      </c>
      <c r="N246" s="34"/>
      <c r="P246" s="14">
        <v>170</v>
      </c>
      <c r="Q246" s="210" t="s">
        <v>231</v>
      </c>
      <c r="R246" s="47" t="str">
        <f>'МРСК 2'!C249</f>
        <v>4+4</v>
      </c>
      <c r="S246" s="47">
        <f>'МРСК 2'!D249</f>
        <v>0.025</v>
      </c>
      <c r="T246" s="15">
        <f>'МРСК 2'!E249</f>
        <v>1.8092421360342321</v>
      </c>
      <c r="U246" s="46">
        <f>'МРСК 2'!F249</f>
        <v>0</v>
      </c>
      <c r="V246" s="16">
        <f>'МРСК 2'!G249</f>
        <v>0</v>
      </c>
      <c r="W246" s="46">
        <f>'МРСК 2'!H249</f>
        <v>1.8092421360342321</v>
      </c>
      <c r="X246" s="15">
        <f>'МРСК 2'!I249</f>
        <v>0</v>
      </c>
      <c r="Y246" s="48">
        <f>'МРСК 2'!J249</f>
        <v>4.2</v>
      </c>
      <c r="Z246" s="46">
        <f>'МРСК 2'!K249</f>
        <v>2.390757863965768</v>
      </c>
      <c r="AA246" s="46" t="e">
        <f>'МРСК 2'!L249:L251</f>
        <v>#VALUE!</v>
      </c>
      <c r="AB246" s="34"/>
    </row>
    <row r="247" spans="1:28" ht="19.5">
      <c r="A247" s="14">
        <v>171</v>
      </c>
      <c r="B247" s="210" t="s">
        <v>232</v>
      </c>
      <c r="C247" s="47" t="str">
        <f>'МРСК 2'!C250</f>
        <v>7,5+6,3</v>
      </c>
      <c r="D247" s="47">
        <v>1608</v>
      </c>
      <c r="E247" s="47">
        <v>1128</v>
      </c>
      <c r="F247" s="105">
        <f t="shared" si="13"/>
        <v>1.9641914366985718</v>
      </c>
      <c r="G247" s="46">
        <v>1.3512660729848878</v>
      </c>
      <c r="H247" s="16">
        <v>20</v>
      </c>
      <c r="I247" s="46">
        <f t="shared" si="14"/>
        <v>0.612925363713684</v>
      </c>
      <c r="J247" s="15">
        <v>0</v>
      </c>
      <c r="K247" s="45">
        <v>6.615</v>
      </c>
      <c r="L247" s="105">
        <v>6.002074636286316</v>
      </c>
      <c r="M247" s="46">
        <f t="shared" si="12"/>
        <v>6.002074636286316</v>
      </c>
      <c r="N247" s="34"/>
      <c r="P247" s="14">
        <v>171</v>
      </c>
      <c r="Q247" s="210" t="s">
        <v>232</v>
      </c>
      <c r="R247" s="47" t="str">
        <f>'МРСК 2'!C250</f>
        <v>7,5+6,3</v>
      </c>
      <c r="S247" s="47">
        <f>'МРСК 2'!D250</f>
        <v>0</v>
      </c>
      <c r="T247" s="15">
        <f>'МРСК 2'!E250</f>
        <v>1.9641914366985718</v>
      </c>
      <c r="U247" s="46">
        <f>'МРСК 2'!F250</f>
        <v>1.3512660729848878</v>
      </c>
      <c r="V247" s="16">
        <f>'МРСК 2'!G250</f>
        <v>20</v>
      </c>
      <c r="W247" s="46">
        <f>'МРСК 2'!H250</f>
        <v>0.612925363713684</v>
      </c>
      <c r="X247" s="15">
        <f>'МРСК 2'!I250</f>
        <v>0</v>
      </c>
      <c r="Y247" s="48">
        <f>'МРСК 2'!J250</f>
        <v>6.615</v>
      </c>
      <c r="Z247" s="46">
        <f>'МРСК 2'!K250</f>
        <v>6.002074636286316</v>
      </c>
      <c r="AA247" s="46" t="e">
        <f>'МРСК 2'!L250:L252</f>
        <v>#VALUE!</v>
      </c>
      <c r="AB247" s="34"/>
    </row>
    <row r="248" spans="1:28" ht="19.5">
      <c r="A248" s="14">
        <v>172</v>
      </c>
      <c r="B248" s="211" t="s">
        <v>233</v>
      </c>
      <c r="C248" s="47" t="str">
        <f>'МРСК 2'!C251</f>
        <v>6,3+6,3</v>
      </c>
      <c r="D248" s="47">
        <v>1928</v>
      </c>
      <c r="E248" s="47">
        <v>736</v>
      </c>
      <c r="F248" s="105">
        <f t="shared" si="13"/>
        <v>2.0637054053328443</v>
      </c>
      <c r="G248" s="46">
        <v>0</v>
      </c>
      <c r="H248" s="16"/>
      <c r="I248" s="46">
        <f t="shared" si="14"/>
        <v>2.0637054053328443</v>
      </c>
      <c r="J248" s="15">
        <v>0</v>
      </c>
      <c r="K248" s="45">
        <v>6.615</v>
      </c>
      <c r="L248" s="105">
        <v>4.551294594667156</v>
      </c>
      <c r="M248" s="46">
        <f t="shared" si="12"/>
        <v>4.551294594667156</v>
      </c>
      <c r="N248" s="34"/>
      <c r="P248" s="14">
        <v>172</v>
      </c>
      <c r="Q248" s="211" t="s">
        <v>233</v>
      </c>
      <c r="R248" s="47" t="str">
        <f>'МРСК 2'!C251</f>
        <v>6,3+6,3</v>
      </c>
      <c r="S248" s="47">
        <f>'МРСК 2'!D251</f>
        <v>0.1</v>
      </c>
      <c r="T248" s="15">
        <f>'МРСК 2'!E251</f>
        <v>2.1637054053328444</v>
      </c>
      <c r="U248" s="46">
        <f>'МРСК 2'!F251</f>
        <v>0</v>
      </c>
      <c r="V248" s="16">
        <f>'МРСК 2'!G251</f>
        <v>0</v>
      </c>
      <c r="W248" s="46">
        <f>'МРСК 2'!H251</f>
        <v>2.1637054053328444</v>
      </c>
      <c r="X248" s="15">
        <f>'МРСК 2'!I251</f>
        <v>0</v>
      </c>
      <c r="Y248" s="48">
        <f>'МРСК 2'!J251</f>
        <v>6.615</v>
      </c>
      <c r="Z248" s="46">
        <f>'МРСК 2'!K251</f>
        <v>4.451294594667155</v>
      </c>
      <c r="AA248" s="46" t="e">
        <f>'МРСК 2'!L251:L253</f>
        <v>#VALUE!</v>
      </c>
      <c r="AB248" s="34"/>
    </row>
    <row r="249" spans="1:28" ht="19.5">
      <c r="A249" s="14">
        <v>173</v>
      </c>
      <c r="B249" s="210" t="s">
        <v>234</v>
      </c>
      <c r="C249" s="47" t="str">
        <f>'МРСК 2'!C252</f>
        <v>2,5+2,5</v>
      </c>
      <c r="D249" s="47">
        <v>1596</v>
      </c>
      <c r="E249" s="47">
        <v>588</v>
      </c>
      <c r="F249" s="105">
        <f t="shared" si="13"/>
        <v>1.7008703654305932</v>
      </c>
      <c r="G249" s="46">
        <v>0.7906646371233466</v>
      </c>
      <c r="H249" s="16">
        <v>80</v>
      </c>
      <c r="I249" s="46">
        <f t="shared" si="14"/>
        <v>0.9102057283072467</v>
      </c>
      <c r="J249" s="15">
        <v>0</v>
      </c>
      <c r="K249" s="45">
        <v>2.625</v>
      </c>
      <c r="L249" s="105">
        <v>1.7147942716927533</v>
      </c>
      <c r="M249" s="46">
        <f t="shared" si="12"/>
        <v>1.7147942716927533</v>
      </c>
      <c r="N249" s="34"/>
      <c r="P249" s="14">
        <v>173</v>
      </c>
      <c r="Q249" s="210" t="s">
        <v>234</v>
      </c>
      <c r="R249" s="47" t="str">
        <f>'МРСК 2'!C252</f>
        <v>2,5+2,5</v>
      </c>
      <c r="S249" s="47">
        <f>'МРСК 2'!D252</f>
        <v>0.052</v>
      </c>
      <c r="T249" s="15">
        <f>'МРСК 2'!E252</f>
        <v>1.7528703654305933</v>
      </c>
      <c r="U249" s="46">
        <f>'МРСК 2'!F252</f>
        <v>0.7906646371233466</v>
      </c>
      <c r="V249" s="16">
        <f>'МРСК 2'!G252</f>
        <v>80</v>
      </c>
      <c r="W249" s="46">
        <f>'МРСК 2'!H252</f>
        <v>0.9622057283072467</v>
      </c>
      <c r="X249" s="15">
        <f>'МРСК 2'!I252</f>
        <v>0</v>
      </c>
      <c r="Y249" s="48">
        <f>'МРСК 2'!J252</f>
        <v>2.625</v>
      </c>
      <c r="Z249" s="46">
        <f>'МРСК 2'!K252</f>
        <v>1.6627942716927533</v>
      </c>
      <c r="AA249" s="46" t="e">
        <f>'МРСК 2'!L252:L254</f>
        <v>#VALUE!</v>
      </c>
      <c r="AB249" s="34"/>
    </row>
    <row r="250" spans="1:28" ht="19.5">
      <c r="A250" s="14">
        <v>174</v>
      </c>
      <c r="B250" s="210" t="s">
        <v>235</v>
      </c>
      <c r="C250" s="47" t="str">
        <f>'МРСК 2'!C253</f>
        <v>4+6,3</v>
      </c>
      <c r="D250" s="47">
        <v>3456</v>
      </c>
      <c r="E250" s="47">
        <v>904</v>
      </c>
      <c r="F250" s="105">
        <f t="shared" si="13"/>
        <v>3.572275465302193</v>
      </c>
      <c r="G250" s="46">
        <v>1.03</v>
      </c>
      <c r="H250" s="16">
        <v>80</v>
      </c>
      <c r="I250" s="46">
        <f t="shared" si="14"/>
        <v>2.5422754653021933</v>
      </c>
      <c r="J250" s="15">
        <v>0</v>
      </c>
      <c r="K250" s="45">
        <v>4.2</v>
      </c>
      <c r="L250" s="105">
        <v>1.657724534697807</v>
      </c>
      <c r="M250" s="46">
        <f t="shared" si="12"/>
        <v>1.657724534697807</v>
      </c>
      <c r="N250" s="34"/>
      <c r="P250" s="14">
        <v>174</v>
      </c>
      <c r="Q250" s="210" t="s">
        <v>235</v>
      </c>
      <c r="R250" s="47" t="str">
        <f>'МРСК 2'!C253</f>
        <v>4+6,3</v>
      </c>
      <c r="S250" s="47">
        <f>'МРСК 2'!D253</f>
        <v>0.2</v>
      </c>
      <c r="T250" s="15">
        <f>'МРСК 2'!E253</f>
        <v>3.7722754653021933</v>
      </c>
      <c r="U250" s="46">
        <f>'МРСК 2'!F253</f>
        <v>1.03</v>
      </c>
      <c r="V250" s="16">
        <f>'МРСК 2'!G253</f>
        <v>80</v>
      </c>
      <c r="W250" s="46">
        <f>'МРСК 2'!H253</f>
        <v>2.7422754653021935</v>
      </c>
      <c r="X250" s="15">
        <f>'МРСК 2'!I253</f>
        <v>0</v>
      </c>
      <c r="Y250" s="48">
        <f>'МРСК 2'!J253</f>
        <v>4.2</v>
      </c>
      <c r="Z250" s="46">
        <f>'МРСК 2'!K253</f>
        <v>1.4577245346978067</v>
      </c>
      <c r="AA250" s="46" t="e">
        <f>'МРСК 2'!L253:L255</f>
        <v>#VALUE!</v>
      </c>
      <c r="AB250" s="34"/>
    </row>
    <row r="251" spans="1:28" ht="19.5">
      <c r="A251" s="14">
        <v>175</v>
      </c>
      <c r="B251" s="210" t="s">
        <v>236</v>
      </c>
      <c r="C251" s="47" t="str">
        <f>'МРСК 2'!C254</f>
        <v>4+4</v>
      </c>
      <c r="D251" s="47">
        <v>1664</v>
      </c>
      <c r="E251" s="47">
        <v>688</v>
      </c>
      <c r="F251" s="105">
        <f t="shared" si="13"/>
        <v>1.8006221147148005</v>
      </c>
      <c r="G251" s="46">
        <v>1.1284260177094108</v>
      </c>
      <c r="H251" s="16">
        <v>80</v>
      </c>
      <c r="I251" s="46">
        <f t="shared" si="14"/>
        <v>0.6721960970053897</v>
      </c>
      <c r="J251" s="15">
        <v>0</v>
      </c>
      <c r="K251" s="45">
        <v>4.2</v>
      </c>
      <c r="L251" s="105">
        <v>3.52780390299461</v>
      </c>
      <c r="M251" s="46">
        <f t="shared" si="12"/>
        <v>3.52780390299461</v>
      </c>
      <c r="N251" s="34"/>
      <c r="P251" s="14">
        <v>175</v>
      </c>
      <c r="Q251" s="210" t="s">
        <v>236</v>
      </c>
      <c r="R251" s="47" t="str">
        <f>'МРСК 2'!C254</f>
        <v>4+4</v>
      </c>
      <c r="S251" s="47">
        <f>'МРСК 2'!D254</f>
        <v>0</v>
      </c>
      <c r="T251" s="15">
        <f>'МРСК 2'!E254</f>
        <v>1.8006221147148005</v>
      </c>
      <c r="U251" s="46">
        <f>'МРСК 2'!F254</f>
        <v>1.1284260177094108</v>
      </c>
      <c r="V251" s="16">
        <f>'МРСК 2'!G254</f>
        <v>80</v>
      </c>
      <c r="W251" s="46">
        <f>'МРСК 2'!H254</f>
        <v>0.6721960970053897</v>
      </c>
      <c r="X251" s="15">
        <f>'МРСК 2'!I254</f>
        <v>0</v>
      </c>
      <c r="Y251" s="48">
        <f>'МРСК 2'!J254</f>
        <v>4.2</v>
      </c>
      <c r="Z251" s="46">
        <f>'МРСК 2'!K254</f>
        <v>3.52780390299461</v>
      </c>
      <c r="AA251" s="46" t="e">
        <f>'МРСК 2'!L254:L256</f>
        <v>#VALUE!</v>
      </c>
      <c r="AB251" s="34"/>
    </row>
    <row r="252" spans="1:28" ht="20.25" thickBot="1">
      <c r="A252" s="14">
        <v>176</v>
      </c>
      <c r="B252" s="212" t="s">
        <v>237</v>
      </c>
      <c r="C252" s="26" t="str">
        <f>'МРСК 2'!C255</f>
        <v>2,5+2,5</v>
      </c>
      <c r="D252" s="26">
        <v>504</v>
      </c>
      <c r="E252" s="26">
        <v>264</v>
      </c>
      <c r="F252" s="172">
        <f t="shared" si="13"/>
        <v>0.5689569403742255</v>
      </c>
      <c r="G252" s="27">
        <v>0.14647866738880444</v>
      </c>
      <c r="H252" s="110">
        <v>80</v>
      </c>
      <c r="I252" s="27">
        <f t="shared" si="14"/>
        <v>0.42247827298542107</v>
      </c>
      <c r="J252" s="28">
        <v>0</v>
      </c>
      <c r="K252" s="189">
        <v>2.625</v>
      </c>
      <c r="L252" s="172">
        <v>2.202521727014579</v>
      </c>
      <c r="M252" s="27">
        <f t="shared" si="12"/>
        <v>2.202521727014579</v>
      </c>
      <c r="N252" s="42"/>
      <c r="P252" s="14">
        <v>176</v>
      </c>
      <c r="Q252" s="212" t="s">
        <v>237</v>
      </c>
      <c r="R252" s="19" t="str">
        <f>'МРСК 2'!C255</f>
        <v>2,5+2,5</v>
      </c>
      <c r="S252" s="19">
        <f>'МРСК 2'!D255</f>
        <v>0</v>
      </c>
      <c r="T252" s="21">
        <f>'МРСК 2'!E255</f>
        <v>0.5689569403742255</v>
      </c>
      <c r="U252" s="20">
        <f>'МРСК 2'!F255</f>
        <v>0.14647866738880444</v>
      </c>
      <c r="V252" s="22">
        <f>'МРСК 2'!G255</f>
        <v>80</v>
      </c>
      <c r="W252" s="20">
        <f>'МРСК 2'!H255</f>
        <v>0.42247827298542107</v>
      </c>
      <c r="X252" s="21">
        <f>'МРСК 2'!I255</f>
        <v>0</v>
      </c>
      <c r="Y252" s="49">
        <f>'МРСК 2'!J255</f>
        <v>2.625</v>
      </c>
      <c r="Z252" s="20">
        <f>'МРСК 2'!K255</f>
        <v>2.202521727014579</v>
      </c>
      <c r="AA252" s="20" t="e">
        <f>'МРСК 2'!L255:L257</f>
        <v>#VALUE!</v>
      </c>
      <c r="AB252" s="35"/>
    </row>
    <row r="253" spans="1:28" ht="19.5">
      <c r="A253" s="52"/>
      <c r="B253" s="53" t="s">
        <v>238</v>
      </c>
      <c r="C253" s="190">
        <f>'МРСК 2'!C256</f>
        <v>3186.9</v>
      </c>
      <c r="D253" s="190"/>
      <c r="E253" s="190"/>
      <c r="F253" s="191">
        <f>#VALUE!</f>
        <v>1131.8395085788643</v>
      </c>
      <c r="G253" s="191" t="e">
        <f>#VALUE!</f>
        <v>#VALUE!</v>
      </c>
      <c r="H253" s="191"/>
      <c r="I253" s="191" t="e">
        <f>#VALUE!</f>
        <v>#VALUE!</v>
      </c>
      <c r="J253" s="65"/>
      <c r="K253" s="65"/>
      <c r="L253" s="65"/>
      <c r="M253" s="192"/>
      <c r="N253" s="54"/>
      <c r="P253" s="89"/>
      <c r="Q253" s="53" t="s">
        <v>238</v>
      </c>
      <c r="R253" s="96">
        <f>'МРСК 2'!C256</f>
        <v>3186.9</v>
      </c>
      <c r="S253" s="94">
        <f>'МРСК 2'!D256</f>
        <v>64.70464999999999</v>
      </c>
      <c r="T253" s="94" t="e">
        <f>'МРСК 2'!E256</f>
        <v>#VALUE!</v>
      </c>
      <c r="U253" s="94">
        <f>'МРСК 2'!F256</f>
        <v>453.927509423786</v>
      </c>
      <c r="V253" s="94">
        <f>'МРСК 2'!G256</f>
        <v>0</v>
      </c>
      <c r="W253" s="94" t="e">
        <f>'МРСК 2'!H256</f>
        <v>#VALUE!</v>
      </c>
      <c r="X253" s="94">
        <f>'МРСК 2'!I256</f>
        <v>0</v>
      </c>
      <c r="Y253" s="94">
        <f>'МРСК 2'!J256</f>
        <v>0</v>
      </c>
      <c r="Z253" s="94">
        <f>'МРСК 2'!K256</f>
        <v>0</v>
      </c>
      <c r="AA253" s="94">
        <f>'МРСК 2'!L256</f>
        <v>0</v>
      </c>
      <c r="AB253" s="91"/>
    </row>
    <row r="254" spans="1:28" ht="20.25">
      <c r="A254" s="57"/>
      <c r="B254" s="58" t="s">
        <v>239</v>
      </c>
      <c r="C254" s="59"/>
      <c r="D254" s="59"/>
      <c r="E254" s="59"/>
      <c r="F254" s="66"/>
      <c r="G254" s="66"/>
      <c r="H254" s="66"/>
      <c r="I254" s="66"/>
      <c r="J254" s="66"/>
      <c r="K254" s="66"/>
      <c r="L254" s="67"/>
      <c r="M254" s="68">
        <v>-10.268</v>
      </c>
      <c r="N254" s="60"/>
      <c r="P254" s="57"/>
      <c r="Q254" s="58" t="s">
        <v>239</v>
      </c>
      <c r="R254" s="59"/>
      <c r="S254" s="59"/>
      <c r="T254" s="97"/>
      <c r="U254" s="59"/>
      <c r="V254" s="59"/>
      <c r="W254" s="59"/>
      <c r="X254" s="92"/>
      <c r="Y254" s="92"/>
      <c r="Z254" s="92"/>
      <c r="AA254" s="94" t="e">
        <f>#REF!</f>
        <v>#REF!</v>
      </c>
      <c r="AB254" s="102"/>
    </row>
    <row r="255" spans="1:28" ht="20.25" thickBot="1">
      <c r="A255" s="61"/>
      <c r="B255" s="62" t="s">
        <v>240</v>
      </c>
      <c r="C255" s="63"/>
      <c r="D255" s="63"/>
      <c r="E255" s="63"/>
      <c r="F255" s="129"/>
      <c r="G255" s="69"/>
      <c r="H255" s="69"/>
      <c r="I255" s="69"/>
      <c r="J255" s="69"/>
      <c r="K255" s="69"/>
      <c r="L255" s="69"/>
      <c r="M255" s="70">
        <f>МРСК!M258</f>
        <v>897.8223933613001</v>
      </c>
      <c r="N255" s="64"/>
      <c r="P255" s="61"/>
      <c r="Q255" s="62" t="s">
        <v>240</v>
      </c>
      <c r="R255" s="63"/>
      <c r="S255" s="193"/>
      <c r="T255" s="63"/>
      <c r="U255" s="63"/>
      <c r="V255" s="63"/>
      <c r="W255" s="63"/>
      <c r="X255" s="93"/>
      <c r="Y255" s="93"/>
      <c r="Z255" s="93"/>
      <c r="AA255" s="94">
        <f>'МРСК 2'!L258</f>
        <v>833.0636445986153</v>
      </c>
      <c r="AB255" s="64"/>
    </row>
    <row r="256" spans="3:25" ht="15.75">
      <c r="C256" s="4"/>
      <c r="D256" s="4"/>
      <c r="E256" s="4"/>
      <c r="F256" s="183"/>
      <c r="G256" s="4"/>
      <c r="H256" s="4"/>
      <c r="I256" s="4"/>
      <c r="J256" s="4"/>
      <c r="K256" s="4"/>
      <c r="R256" s="4"/>
      <c r="S256" s="4"/>
      <c r="T256" s="4"/>
      <c r="U256" s="4"/>
      <c r="V256" s="4"/>
      <c r="W256" s="4"/>
      <c r="X256" s="4"/>
      <c r="Y256" s="4"/>
    </row>
    <row r="257" spans="3:25" ht="20.25">
      <c r="C257" s="214"/>
      <c r="D257" s="214"/>
      <c r="E257" s="214"/>
      <c r="F257" s="214"/>
      <c r="G257" s="214"/>
      <c r="H257" s="214"/>
      <c r="I257" s="214"/>
      <c r="J257" s="214"/>
      <c r="K257" s="214"/>
      <c r="R257" s="214"/>
      <c r="S257" s="214"/>
      <c r="T257" s="214"/>
      <c r="U257" s="214"/>
      <c r="V257" s="214"/>
      <c r="W257" s="214"/>
      <c r="X257" s="214"/>
      <c r="Y257" s="214"/>
    </row>
  </sheetData>
  <sheetProtection/>
  <mergeCells count="95">
    <mergeCell ref="M144:M146"/>
    <mergeCell ref="M147:M149"/>
    <mergeCell ref="M151:M153"/>
    <mergeCell ref="C257:K257"/>
    <mergeCell ref="M129:M131"/>
    <mergeCell ref="M132:M134"/>
    <mergeCell ref="M136:M138"/>
    <mergeCell ref="M141:M143"/>
    <mergeCell ref="M111:M113"/>
    <mergeCell ref="M119:M121"/>
    <mergeCell ref="M122:M124"/>
    <mergeCell ref="M126:M128"/>
    <mergeCell ref="M97:M99"/>
    <mergeCell ref="M100:M102"/>
    <mergeCell ref="M104:M106"/>
    <mergeCell ref="M108:M110"/>
    <mergeCell ref="M68:M70"/>
    <mergeCell ref="M72:M74"/>
    <mergeCell ref="M82:M84"/>
    <mergeCell ref="M87:M89"/>
    <mergeCell ref="M55:M57"/>
    <mergeCell ref="M58:M60"/>
    <mergeCell ref="M62:M64"/>
    <mergeCell ref="M65:M67"/>
    <mergeCell ref="M18:M20"/>
    <mergeCell ref="M21:M23"/>
    <mergeCell ref="M49:M51"/>
    <mergeCell ref="M52:M54"/>
    <mergeCell ref="M6:M8"/>
    <mergeCell ref="M9:M11"/>
    <mergeCell ref="M12:M14"/>
    <mergeCell ref="M15:M17"/>
    <mergeCell ref="J2:J3"/>
    <mergeCell ref="K2:K3"/>
    <mergeCell ref="L2:M3"/>
    <mergeCell ref="L4:M4"/>
    <mergeCell ref="AA132:AA134"/>
    <mergeCell ref="AA136:AA138"/>
    <mergeCell ref="AA141:AA143"/>
    <mergeCell ref="A1:A3"/>
    <mergeCell ref="B1:B3"/>
    <mergeCell ref="C1:M1"/>
    <mergeCell ref="N1:N3"/>
    <mergeCell ref="C2:C3"/>
    <mergeCell ref="G2:H2"/>
    <mergeCell ref="I2:I3"/>
    <mergeCell ref="AA119:AA121"/>
    <mergeCell ref="AA122:AA124"/>
    <mergeCell ref="AA126:AA128"/>
    <mergeCell ref="AA129:AA131"/>
    <mergeCell ref="AA144:AA146"/>
    <mergeCell ref="AA147:AA149"/>
    <mergeCell ref="AA151:AA153"/>
    <mergeCell ref="R257:Y257"/>
    <mergeCell ref="AA62:AA64"/>
    <mergeCell ref="AA65:AA67"/>
    <mergeCell ref="AA68:AA70"/>
    <mergeCell ref="AA94:AA96"/>
    <mergeCell ref="AA75:AA77"/>
    <mergeCell ref="AA78:AA80"/>
    <mergeCell ref="AA82:AA84"/>
    <mergeCell ref="AA87:AA89"/>
    <mergeCell ref="AA91:AA93"/>
    <mergeCell ref="AA49:AA51"/>
    <mergeCell ref="AA52:AA54"/>
    <mergeCell ref="AA55:AA57"/>
    <mergeCell ref="AA58:AA60"/>
    <mergeCell ref="AA12:AA14"/>
    <mergeCell ref="AA15:AA17"/>
    <mergeCell ref="AA18:AA20"/>
    <mergeCell ref="AA21:AA23"/>
    <mergeCell ref="AA111:AA113"/>
    <mergeCell ref="M75:M77"/>
    <mergeCell ref="M78:M80"/>
    <mergeCell ref="AA72:AA74"/>
    <mergeCell ref="AA97:AA99"/>
    <mergeCell ref="AA100:AA102"/>
    <mergeCell ref="AA104:AA106"/>
    <mergeCell ref="AA108:AA110"/>
    <mergeCell ref="M91:M93"/>
    <mergeCell ref="M94:M96"/>
    <mergeCell ref="AB1:AB3"/>
    <mergeCell ref="R2:R3"/>
    <mergeCell ref="S2:S3"/>
    <mergeCell ref="T2:T3"/>
    <mergeCell ref="U2:V2"/>
    <mergeCell ref="W2:W3"/>
    <mergeCell ref="X2:X3"/>
    <mergeCell ref="Y2:Y3"/>
    <mergeCell ref="Z2:AA3"/>
    <mergeCell ref="AA9:AA11"/>
    <mergeCell ref="P1:P3"/>
    <mergeCell ref="Q1:Q3"/>
    <mergeCell ref="R1:AA1"/>
    <mergeCell ref="AA6:AA8"/>
  </mergeCells>
  <conditionalFormatting sqref="M255 M6:M102 M104:M252">
    <cfRule type="cellIs" priority="26" dxfId="0" operator="lessThan">
      <formula>0</formula>
    </cfRule>
  </conditionalFormatting>
  <conditionalFormatting sqref="AA12 AA52 AA122 AA139:AA141 AA135:AA136 AA132 AA129 AA125:AA126 AA147 AA154:AA252 AA150:AA151 AA144 AA78 AA90:AA91 AA85:AA87 AA81:AA82 AA97 AA75 AA107:AA108 AA104 AA100 AA94 AA15 AA68 AA65 AA61:AA62 AA58 AA55 AA48:AA49 AA24:AA46 AA21 AA18 AA114:AA119 AA71:AA72 AA111 AA6 AA9">
    <cfRule type="cellIs" priority="23" dxfId="0" operator="lessThan">
      <formula>0</formula>
    </cfRule>
  </conditionalFormatting>
  <conditionalFormatting sqref="AA82:AA84">
    <cfRule type="cellIs" priority="21" dxfId="0" operator="lessThan">
      <formula>0</formula>
    </cfRule>
  </conditionalFormatting>
  <conditionalFormatting sqref="AA91:AA93">
    <cfRule type="cellIs" priority="20" dxfId="0" operator="lessThan">
      <formula>0</formula>
    </cfRule>
  </conditionalFormatting>
  <conditionalFormatting sqref="AA94:AA96">
    <cfRule type="cellIs" priority="19" dxfId="0" operator="lessThan">
      <formula>0</formula>
    </cfRule>
  </conditionalFormatting>
  <conditionalFormatting sqref="AA97:AA99">
    <cfRule type="cellIs" priority="18" dxfId="0" operator="lessThan">
      <formula>0</formula>
    </cfRule>
  </conditionalFormatting>
  <conditionalFormatting sqref="AA100:AA102">
    <cfRule type="cellIs" priority="17" dxfId="0" operator="lessThan">
      <formula>0</formula>
    </cfRule>
  </conditionalFormatting>
  <conditionalFormatting sqref="AA104:AA106">
    <cfRule type="cellIs" priority="16" dxfId="0" operator="lessThan">
      <formula>0</formula>
    </cfRule>
  </conditionalFormatting>
  <conditionalFormatting sqref="AA108:AA110">
    <cfRule type="cellIs" priority="15" dxfId="0" operator="lessThan">
      <formula>0</formula>
    </cfRule>
  </conditionalFormatting>
  <conditionalFormatting sqref="AA108:AA110">
    <cfRule type="cellIs" priority="14" dxfId="0" operator="lessThan">
      <formula>0</formula>
    </cfRule>
  </conditionalFormatting>
  <conditionalFormatting sqref="AA111:AA113">
    <cfRule type="cellIs" priority="13" dxfId="0" operator="lessThan">
      <formula>0</formula>
    </cfRule>
  </conditionalFormatting>
  <conditionalFormatting sqref="AA119:AA121">
    <cfRule type="cellIs" priority="12" dxfId="0" operator="lessThan">
      <formula>0</formula>
    </cfRule>
  </conditionalFormatting>
  <conditionalFormatting sqref="AA122:AA124">
    <cfRule type="cellIs" priority="11" dxfId="0" operator="lessThan">
      <formula>0</formula>
    </cfRule>
  </conditionalFormatting>
  <conditionalFormatting sqref="AA126:AA128">
    <cfRule type="cellIs" priority="10" dxfId="0" operator="lessThan">
      <formula>0</formula>
    </cfRule>
  </conditionalFormatting>
  <conditionalFormatting sqref="AA129:AA131">
    <cfRule type="cellIs" priority="9" dxfId="0" operator="lessThan">
      <formula>0</formula>
    </cfRule>
  </conditionalFormatting>
  <conditionalFormatting sqref="AA132:AA134">
    <cfRule type="cellIs" priority="8" dxfId="0" operator="lessThan">
      <formula>0</formula>
    </cfRule>
  </conditionalFormatting>
  <conditionalFormatting sqref="AA141:AA143">
    <cfRule type="cellIs" priority="7" dxfId="0" operator="lessThan">
      <formula>0</formula>
    </cfRule>
  </conditionalFormatting>
  <conditionalFormatting sqref="AA144:AA146">
    <cfRule type="cellIs" priority="6" dxfId="0" operator="lessThan">
      <formula>0</formula>
    </cfRule>
  </conditionalFormatting>
  <conditionalFormatting sqref="AA147:AA149">
    <cfRule type="cellIs" priority="5" dxfId="0" operator="lessThan">
      <formula>0</formula>
    </cfRule>
  </conditionalFormatting>
  <conditionalFormatting sqref="AA15:AA17">
    <cfRule type="cellIs" priority="4" dxfId="0" operator="lessThan">
      <formula>0</formula>
    </cfRule>
  </conditionalFormatting>
  <conditionalFormatting sqref="AB103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2010-03-30T12:31:47Z</cp:lastPrinted>
  <dcterms:created xsi:type="dcterms:W3CDTF">2008-10-03T08:18:33Z</dcterms:created>
  <dcterms:modified xsi:type="dcterms:W3CDTF">2010-01-01T04:19:48Z</dcterms:modified>
  <cp:category/>
  <cp:version/>
  <cp:contentType/>
  <cp:contentStatus/>
</cp:coreProperties>
</file>