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45" windowWidth="12525" windowHeight="1242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закл.договоров'!$A$3:$H$468</definedName>
    <definedName name="_xlnm._FilterDatabase" localSheetId="0" hidden="1">Свод!$A$7:$K$160</definedName>
    <definedName name="_xlnm.Print_Area" localSheetId="0">Свод!$B$4:$K$160</definedName>
  </definedNames>
  <calcPr calcId="145621"/>
</workbook>
</file>

<file path=xl/calcChain.xml><?xml version="1.0" encoding="utf-8"?>
<calcChain xmlns="http://schemas.openxmlformats.org/spreadsheetml/2006/main">
  <c r="G112" i="2" l="1"/>
  <c r="F112" i="2"/>
  <c r="G468" i="3" l="1"/>
  <c r="F468" i="3"/>
  <c r="G93" i="2" l="1"/>
  <c r="F93" i="2"/>
  <c r="G103" i="2" l="1"/>
  <c r="I84" i="2"/>
  <c r="K143" i="2"/>
  <c r="K142" i="2"/>
  <c r="K140" i="2"/>
  <c r="K139" i="2"/>
  <c r="K138" i="2"/>
  <c r="K136" i="2"/>
  <c r="K133" i="2"/>
  <c r="K129" i="2"/>
  <c r="K128" i="2"/>
  <c r="K117" i="2"/>
  <c r="K111" i="2"/>
  <c r="K106" i="2"/>
  <c r="K105" i="2"/>
  <c r="K103" i="2"/>
  <c r="K102" i="2"/>
  <c r="K96" i="2"/>
  <c r="K95" i="2"/>
  <c r="K94" i="2"/>
  <c r="K91" i="2"/>
  <c r="K70" i="2"/>
  <c r="K57" i="2"/>
  <c r="K54" i="2"/>
  <c r="K53" i="2"/>
  <c r="K40" i="2"/>
  <c r="K31" i="2"/>
  <c r="K17" i="2"/>
  <c r="K14" i="2"/>
  <c r="K7" i="2" s="1"/>
  <c r="I160" i="2"/>
  <c r="I159" i="2"/>
  <c r="I158" i="2"/>
  <c r="I157" i="2"/>
  <c r="I156" i="2"/>
  <c r="I155" i="2"/>
  <c r="I152" i="2"/>
  <c r="I151" i="2"/>
  <c r="I149" i="2"/>
  <c r="I148" i="2"/>
  <c r="I145" i="2"/>
  <c r="I143" i="2"/>
  <c r="I142" i="2"/>
  <c r="I140" i="2"/>
  <c r="I139" i="2"/>
  <c r="I138" i="2"/>
  <c r="I137" i="2"/>
  <c r="I136" i="2"/>
  <c r="I135" i="2"/>
  <c r="I131" i="2"/>
  <c r="I130" i="2"/>
  <c r="I129" i="2"/>
  <c r="I128" i="2"/>
  <c r="I126" i="2"/>
  <c r="I125" i="2"/>
  <c r="I124" i="2"/>
  <c r="I122" i="2"/>
  <c r="I121" i="2"/>
  <c r="I120" i="2"/>
  <c r="I117" i="2"/>
  <c r="I116" i="2"/>
  <c r="I115" i="2"/>
  <c r="I114" i="2"/>
  <c r="I111" i="2"/>
  <c r="I109" i="2"/>
  <c r="I108" i="2"/>
  <c r="I107" i="2"/>
  <c r="I106" i="2"/>
  <c r="I105" i="2"/>
  <c r="I104" i="2"/>
  <c r="I103" i="2"/>
  <c r="I101" i="2"/>
  <c r="I99" i="2"/>
  <c r="I98" i="2"/>
  <c r="I97" i="2"/>
  <c r="I96" i="2"/>
  <c r="I95" i="2"/>
  <c r="I94" i="2"/>
  <c r="I93" i="2"/>
  <c r="I90" i="2"/>
  <c r="I89" i="2"/>
  <c r="I88" i="2"/>
  <c r="I87" i="2"/>
  <c r="I86" i="2"/>
  <c r="I85" i="2"/>
  <c r="I83" i="2"/>
  <c r="I82" i="2"/>
  <c r="I81" i="2"/>
  <c r="I80" i="2"/>
  <c r="I79" i="2"/>
  <c r="I78" i="2"/>
  <c r="I77" i="2"/>
  <c r="I76" i="2"/>
  <c r="I72" i="2"/>
  <c r="I71" i="2"/>
  <c r="I67" i="2"/>
  <c r="I66" i="2"/>
  <c r="I64" i="2"/>
  <c r="I63" i="2"/>
  <c r="I58" i="2"/>
  <c r="I57" i="2"/>
  <c r="I55" i="2"/>
  <c r="I54" i="2"/>
  <c r="I53" i="2"/>
  <c r="I52" i="2"/>
  <c r="I49" i="2"/>
  <c r="I48" i="2"/>
  <c r="I47" i="2"/>
  <c r="I43" i="2"/>
  <c r="I42" i="2"/>
  <c r="I41" i="2"/>
  <c r="I40" i="2"/>
  <c r="I39" i="2"/>
  <c r="I36" i="2"/>
  <c r="I35" i="2"/>
  <c r="I34" i="2"/>
  <c r="I33" i="2"/>
  <c r="I32" i="2"/>
  <c r="I31" i="2"/>
  <c r="I29" i="2"/>
  <c r="I28" i="2"/>
  <c r="I25" i="2"/>
  <c r="I23" i="2"/>
  <c r="I19" i="2"/>
  <c r="I17" i="2"/>
  <c r="I12" i="2"/>
  <c r="I11" i="2"/>
  <c r="I10" i="2"/>
  <c r="I9" i="2"/>
  <c r="I8" i="2"/>
  <c r="G154" i="2"/>
  <c r="G153" i="2"/>
  <c r="G152" i="2"/>
  <c r="G151" i="2"/>
  <c r="G150" i="2"/>
  <c r="G149" i="2"/>
  <c r="G148" i="2"/>
  <c r="G147" i="2"/>
  <c r="G146" i="2"/>
  <c r="G145" i="2"/>
  <c r="G143" i="2"/>
  <c r="G142" i="2"/>
  <c r="G140" i="2"/>
  <c r="G139" i="2"/>
  <c r="G138" i="2"/>
  <c r="G137" i="2"/>
  <c r="G136" i="2"/>
  <c r="G135" i="2"/>
  <c r="G134" i="2"/>
  <c r="G133" i="2"/>
  <c r="G132" i="2"/>
  <c r="G130" i="2"/>
  <c r="G129" i="2"/>
  <c r="G128" i="2"/>
  <c r="G126" i="2"/>
  <c r="G125" i="2"/>
  <c r="G124" i="2"/>
  <c r="G122" i="2"/>
  <c r="G121" i="2"/>
  <c r="G120" i="2"/>
  <c r="G119" i="2"/>
  <c r="G117" i="2"/>
  <c r="G116" i="2"/>
  <c r="G115" i="2"/>
  <c r="G114" i="2"/>
  <c r="G111" i="2"/>
  <c r="G110" i="2"/>
  <c r="G107" i="2"/>
  <c r="G106" i="2"/>
  <c r="G105" i="2"/>
  <c r="G104" i="2"/>
  <c r="G102" i="2"/>
  <c r="G101" i="2"/>
  <c r="G99" i="2"/>
  <c r="G98" i="2"/>
  <c r="G97" i="2"/>
  <c r="G96" i="2"/>
  <c r="G95" i="2"/>
  <c r="G94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7" i="2"/>
  <c r="G46" i="2"/>
  <c r="G45" i="2"/>
  <c r="G43" i="2"/>
  <c r="G42" i="2"/>
  <c r="G41" i="2"/>
  <c r="G40" i="2"/>
  <c r="G39" i="2"/>
  <c r="G36" i="2"/>
  <c r="G35" i="2"/>
  <c r="G34" i="2"/>
  <c r="G33" i="2"/>
  <c r="G32" i="2"/>
  <c r="G31" i="2"/>
  <c r="G28" i="2"/>
  <c r="G27" i="2"/>
  <c r="G26" i="2"/>
  <c r="G25" i="2"/>
  <c r="G24" i="2"/>
  <c r="G23" i="2"/>
  <c r="G22" i="2"/>
  <c r="G20" i="2"/>
  <c r="G19" i="2"/>
  <c r="G17" i="2"/>
  <c r="G16" i="2"/>
  <c r="G13" i="2"/>
  <c r="G11" i="2"/>
  <c r="G10" i="2"/>
  <c r="G9" i="2"/>
  <c r="G8" i="2"/>
  <c r="E141" i="2"/>
  <c r="E115" i="2"/>
  <c r="D115" i="2"/>
  <c r="J17" i="2"/>
  <c r="J7" i="2" s="1"/>
  <c r="J139" i="2"/>
  <c r="J96" i="2"/>
  <c r="J94" i="2"/>
  <c r="J103" i="2"/>
  <c r="H52" i="2"/>
  <c r="H8" i="2"/>
  <c r="H53" i="2"/>
  <c r="H49" i="2"/>
  <c r="H47" i="2"/>
  <c r="H71" i="2"/>
  <c r="H40" i="2"/>
  <c r="H33" i="2"/>
  <c r="H9" i="2"/>
  <c r="H19" i="2"/>
  <c r="H96" i="2"/>
  <c r="H138" i="2"/>
  <c r="H140" i="2"/>
  <c r="H157" i="2"/>
  <c r="H137" i="2"/>
  <c r="H94" i="2"/>
  <c r="H107" i="2"/>
  <c r="H124" i="2"/>
  <c r="H111" i="2"/>
  <c r="H122" i="2"/>
  <c r="H97" i="2"/>
  <c r="H105" i="2"/>
  <c r="K92" i="2"/>
  <c r="F52" i="2"/>
  <c r="F53" i="2"/>
  <c r="F8" i="2"/>
  <c r="F26" i="2"/>
  <c r="F9" i="2"/>
  <c r="F25" i="2"/>
  <c r="F17" i="2"/>
  <c r="F94" i="2"/>
  <c r="F115" i="2"/>
  <c r="F116" i="2"/>
  <c r="F143" i="2"/>
  <c r="F139" i="2"/>
  <c r="F138" i="2"/>
  <c r="F140" i="2"/>
  <c r="F137" i="2"/>
  <c r="F128" i="2"/>
  <c r="F114" i="2"/>
  <c r="F107" i="2"/>
  <c r="F97" i="2"/>
  <c r="F105" i="2"/>
  <c r="E144" i="2"/>
  <c r="E143" i="2"/>
  <c r="E142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5" i="2"/>
  <c r="D10" i="2"/>
  <c r="D50" i="2"/>
  <c r="D36" i="2"/>
  <c r="D17" i="2"/>
  <c r="D22" i="2"/>
  <c r="D31" i="2"/>
  <c r="D29" i="2"/>
  <c r="D9" i="2"/>
  <c r="D138" i="2"/>
  <c r="D143" i="2"/>
  <c r="D144" i="2"/>
  <c r="D139" i="2"/>
  <c r="D140" i="2"/>
  <c r="D137" i="2"/>
  <c r="D96" i="2"/>
  <c r="D93" i="2"/>
  <c r="D129" i="2"/>
  <c r="D94" i="2"/>
  <c r="D107" i="2"/>
  <c r="D105" i="2"/>
  <c r="D95" i="2"/>
  <c r="D97" i="2"/>
  <c r="E7" i="2" l="1"/>
  <c r="D7" i="2"/>
  <c r="G7" i="2"/>
  <c r="I92" i="2"/>
  <c r="J92" i="2"/>
  <c r="H92" i="2"/>
  <c r="E92" i="2"/>
  <c r="F7" i="2"/>
  <c r="D92" i="2"/>
  <c r="G92" i="2"/>
  <c r="F92" i="2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l="1"/>
  <c r="I7" i="2"/>
  <c r="H7" i="2"/>
  <c r="B94" i="2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466" i="3" l="1"/>
  <c r="B467" i="3" s="1"/>
  <c r="B468" i="3" s="1"/>
</calcChain>
</file>

<file path=xl/sharedStrings.xml><?xml version="1.0" encoding="utf-8"?>
<sst xmlns="http://schemas.openxmlformats.org/spreadsheetml/2006/main" count="2186" uniqueCount="682">
  <si>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</si>
  <si>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</si>
  <si>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</si>
  <si>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</si>
  <si>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</si>
  <si>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</si>
  <si>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</si>
  <si>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</si>
  <si>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</si>
  <si>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</si>
  <si>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</si>
  <si>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</si>
  <si>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</si>
  <si>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</si>
  <si>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</si>
  <si>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</si>
  <si>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</si>
  <si>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</si>
  <si>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</si>
  <si>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</si>
  <si>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</si>
  <si>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Точка присоединения объекта (ПС)</t>
  </si>
  <si>
    <t>ПС 110/35/6 кВ "Рославль"</t>
  </si>
  <si>
    <t>ПС 110/10 кВ "Ярцево-1"</t>
  </si>
  <si>
    <t>ПС 220/110/35/6 кВ "Смоленск-1"</t>
  </si>
  <si>
    <t>ПС 35/10 кВ "Каспля"</t>
  </si>
  <si>
    <t>ПС 35/6 кВ "Печерск"</t>
  </si>
  <si>
    <t>ПС "Мещерская - Тяговая"</t>
  </si>
  <si>
    <t>ПС 110/35/10 кВ "Вязьма-1"</t>
  </si>
  <si>
    <t>ПС 110/10 кВ "Вязьма-Тяговая"</t>
  </si>
  <si>
    <t>ПС 110/10 кВ "Диво"</t>
  </si>
  <si>
    <t>ПС 110/10 кВ "Сапрыкино"</t>
  </si>
  <si>
    <t>ПС 110/10 кВ "Торбеево"</t>
  </si>
  <si>
    <t>ПС 110/10 кВ "Трубная"</t>
  </si>
  <si>
    <t>ПС 110/10 кВ "Угра"</t>
  </si>
  <si>
    <t>ПС 110/10 кВ "Ярцево-2"</t>
  </si>
  <si>
    <t>ПС 110/10/6 кВ "Центральная"</t>
  </si>
  <si>
    <t>ПС 110/35/10 кВ "Велиж"</t>
  </si>
  <si>
    <t>ПС 110/35/10 кВ "Всходы"</t>
  </si>
  <si>
    <t>ПС 110/35/10 кВ "Демидов"</t>
  </si>
  <si>
    <t>ПС 110/35/10 кВ "Днепровск"</t>
  </si>
  <si>
    <t>ПС 110/35/10 кВ "Ершичи"</t>
  </si>
  <si>
    <t>ПС 110/35/10 кВ "Заводская"</t>
  </si>
  <si>
    <t>ПС 110/35/10 кВ "Знаменка"</t>
  </si>
  <si>
    <t>ПС 110/35/10 кВ "Кардымово"</t>
  </si>
  <si>
    <t>ПС 110/35/10 кВ "Катынь-2"</t>
  </si>
  <si>
    <t>ПС 110/35/10 кВ "Красный"</t>
  </si>
  <si>
    <t>ПС 110/35/10 кВ "Михайловская"</t>
  </si>
  <si>
    <t>ПС 110/35/10 кВ "Монастырщина"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</si>
  <si>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</si>
  <si>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</si>
  <si>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</si>
  <si>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</si>
  <si>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</si>
  <si>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"Сычевка"</t>
  </si>
  <si>
    <t>ПС 110/35/10 кВ "Туманово"</t>
  </si>
  <si>
    <t>ПС 110/35/6 кВ "Горная"</t>
  </si>
  <si>
    <t>ПС 110/35/6 кВ "Северная"</t>
  </si>
  <si>
    <t>ПС 110/6 кВ "Восточная"</t>
  </si>
  <si>
    <t>ПС 110/6 кВ "Западная"</t>
  </si>
  <si>
    <t>ПС 110/6 кВ "Сафоново"</t>
  </si>
  <si>
    <t>ПС 110/6 кВ "Смоленск-2"</t>
  </si>
  <si>
    <t>ПС 35/10 кВ "Катынь-1"</t>
  </si>
  <si>
    <t>ПС 35/10 кВ "Акатово"</t>
  </si>
  <si>
    <t>ПС 35/10 кВ "Жуковская"</t>
  </si>
  <si>
    <t>ПС 35/10 кВ "Исаково"</t>
  </si>
  <si>
    <t>ПС 35/10 кВ "Караваево"</t>
  </si>
  <si>
    <t>ПС 35/10 кВ "Карманово"</t>
  </si>
  <si>
    <t>ПС 35/10 кВ "Кощино"</t>
  </si>
  <si>
    <t>ПС 35/10 кВ "Одинцово"</t>
  </si>
  <si>
    <t>ПС 35/10 кВ "Ольша"</t>
  </si>
  <si>
    <t>ПС 35/10 кВ "Родоманово"</t>
  </si>
  <si>
    <t>ПС 35/10 кВ "Рябцево"</t>
  </si>
  <si>
    <t>ПС 35/10 кВ "Савеево"</t>
  </si>
  <si>
    <t>ПС 35/10 кВ "Трудилово"</t>
  </si>
  <si>
    <t>ПС 35/10 кВ "Тычинино"</t>
  </si>
  <si>
    <t>ПС 35/10 кВ "Холм-Жирки"</t>
  </si>
  <si>
    <t>ПС 35/6 кВ "Гнездово"</t>
  </si>
  <si>
    <t>ПС 35/6 кВ "Егорьево"</t>
  </si>
  <si>
    <t>ПС 35/6 кВ "Красный Бор"</t>
  </si>
  <si>
    <t>ПС 110/10/6 кВ Чернушки</t>
  </si>
  <si>
    <t>ПС 110/35/6 кВ Южная</t>
  </si>
  <si>
    <t>ПС 110/10 кВ "Вязьма-2"</t>
  </si>
  <si>
    <t>ПС 110/10 кВ "Екимцево"</t>
  </si>
  <si>
    <t>ПС 110/10 кВ "Миловидово"</t>
  </si>
  <si>
    <t>ПС 110/35/10 кВ "Гагарин</t>
  </si>
  <si>
    <t>ПС 110/35/10 кВ "Дорогобуж-1"</t>
  </si>
  <si>
    <t>ПС 110/35/10 кВ "Ельня"</t>
  </si>
  <si>
    <t>ПС 110/35/10 кВ "Издешково</t>
  </si>
  <si>
    <t>ПС 110/35/10 кВ "Каспля"</t>
  </si>
  <si>
    <t>ПС 110/35/10 кВ "Козино"</t>
  </si>
  <si>
    <t>ПС 110/35/10 кВ "Мазальцево"</t>
  </si>
  <si>
    <t>ПС 110/35/10 кВ "Россия"</t>
  </si>
  <si>
    <t>ПС 110/35/10 кВ "Суетово"</t>
  </si>
  <si>
    <t>ПС 110/35/10 кВ "Темкино"</t>
  </si>
  <si>
    <t>ПС 110/35/10 кВ "Хиславичи"</t>
  </si>
  <si>
    <t>ПС 110/35/10кВ "Десногорск"</t>
  </si>
  <si>
    <t>ПС 110/35/6 кВ  "Пронино"</t>
  </si>
  <si>
    <t>ПС 110/35/6 кВ "Голынки"</t>
  </si>
  <si>
    <t>ПС 110/6 кВ "Диффузион"</t>
  </si>
  <si>
    <t>ПС 110/6 кВ "Пластмасс"</t>
  </si>
  <si>
    <t>ПС 110/6 кВ "Электромашины"</t>
  </si>
  <si>
    <t>ПС  35/10 кВ "Лубня"</t>
  </si>
  <si>
    <t>ПС 35/10 "Мелькомбинат"</t>
  </si>
  <si>
    <t>ПС 35/10 кВ "Аполье"</t>
  </si>
  <si>
    <t>ПС 35/10 кВ "Баскаковка"</t>
  </si>
  <si>
    <t>ПС 35/10 кВ "Бекрино"</t>
  </si>
  <si>
    <t>ПС 35/10 кВ "Высокое"</t>
  </si>
  <si>
    <t>ПС 35/10 кВ "Дивинка"</t>
  </si>
  <si>
    <t>ПС 35/10 кВ "Жичицы"</t>
  </si>
  <si>
    <t>ПС 35/10 кВ "Капыревщина"</t>
  </si>
  <si>
    <t>ПС 35/10 кВ "Каськово"</t>
  </si>
  <si>
    <t>ПС 35/10 кВ "Кикино"</t>
  </si>
  <si>
    <t>ПС 35/10 кВ "Коминтерн"</t>
  </si>
  <si>
    <t>ПС 35/10 кВ "Миганово"</t>
  </si>
  <si>
    <t>ПС 35/10 кВ "Никольское"</t>
  </si>
  <si>
    <t>ПС 35/10 кВ "Озерный"</t>
  </si>
  <si>
    <t>ПС 35/10 кВ "Сверчково"</t>
  </si>
  <si>
    <t>ПС 35/10 кВ "Свистовичи"</t>
  </si>
  <si>
    <t>ПС 35/10 кВ "Тесово"</t>
  </si>
  <si>
    <t>ПС 35/10 кВ "Шаломино"</t>
  </si>
  <si>
    <t>ПС 35/10 кВ "Шиманово"</t>
  </si>
  <si>
    <t>ПС 35/10кВ "Успенское"</t>
  </si>
  <si>
    <t>ПС 35/10кВ "Шуйское"</t>
  </si>
  <si>
    <t>ПС 35/6 кВ "Водозабор"</t>
  </si>
  <si>
    <t>ПС 35/6 кВ "ВРЗ"</t>
  </si>
  <si>
    <t>ПС 35/6 кВ "ЗССК"</t>
  </si>
  <si>
    <t>ПС 35/6 кВ "Колодня"</t>
  </si>
  <si>
    <t>ПС 35/6 кВ "Синьково"</t>
  </si>
  <si>
    <t>ПС 110/35/10 кВ "Леуздово"</t>
  </si>
  <si>
    <t>ПС 110/35/10 кВ "Мишино"</t>
  </si>
  <si>
    <t>ПС 35/10 кВ "Аврора"</t>
  </si>
  <si>
    <t>ПС 35/10 кВ "Белеи"</t>
  </si>
  <si>
    <t>ПС 35/10 кВ "Березка"</t>
  </si>
  <si>
    <t>ПС 35/10 кВ "Бехтеево"</t>
  </si>
  <si>
    <t>ПС 35/10 кВ "Вадино"</t>
  </si>
  <si>
    <t>ПС 35/10 кВ "Вачково"</t>
  </si>
  <si>
    <t>ПС 35/10 кВ "Горки"</t>
  </si>
  <si>
    <t>ПС 35/10 кВ "Дивинская"</t>
  </si>
  <si>
    <t>ПС 35/10 кВ "Дружба</t>
  </si>
  <si>
    <t>ПС 35/10 кВ "Зайцево"</t>
  </si>
  <si>
    <t>ПС 35/10 кВ "Кириллы"</t>
  </si>
  <si>
    <t>ПС 35/10 кВ "Клушино"</t>
  </si>
  <si>
    <t>ПС 35/10 кВ "Коммунар"</t>
  </si>
  <si>
    <t>ПС 35/10 кВ "Кузьмичи"</t>
  </si>
  <si>
    <t>ПС 35/10 кВ "Липецы"</t>
  </si>
  <si>
    <t>ПС 35/10 кВ "Лосьмино"</t>
  </si>
  <si>
    <t>ПС 35/10 кВ "Лукино"</t>
  </si>
  <si>
    <t>ПС 35/10 кВ "Первомайская"</t>
  </si>
  <si>
    <t>ПС 35/10 кВ "Печатники"</t>
  </si>
  <si>
    <t>ПС 35/10 кВ "Усвятье"</t>
  </si>
  <si>
    <t>ПС 35/6 кВ "Ясенная"</t>
  </si>
  <si>
    <t>ПС 110/10 кВ "Макшеево"</t>
  </si>
  <si>
    <t>ПС 110/10 кВ "Субботники"</t>
  </si>
  <si>
    <t>ПС 110/10/6 кВ "Промышленная"</t>
  </si>
  <si>
    <t>ПС 110/35/10 кВ "Васьково"</t>
  </si>
  <si>
    <t>ПС 110/35/10 кВ "Духовщина"</t>
  </si>
  <si>
    <t>ПС 110/35/10 кВ "Пречистое"</t>
  </si>
  <si>
    <t>ПС 35/10 "Ризское"</t>
  </si>
  <si>
    <t>ПС 35/10 кВ "Балтутино"</t>
  </si>
  <si>
    <t>ПС 35/10 кВ "Береснево"</t>
  </si>
  <si>
    <t>ПС 35/10 кВ "Булгаково"</t>
  </si>
  <si>
    <t>ПС 35/10 кВ "Каменка"</t>
  </si>
  <si>
    <t>ПС 35/10 кВ "Мерлино"</t>
  </si>
  <si>
    <t>ПС 35/10 кВ "Сапшо"</t>
  </si>
  <si>
    <t>ПС 35/10 кВ "Семлево"</t>
  </si>
  <si>
    <t>ПС 35/10 кВ "Соловьево"</t>
  </si>
  <si>
    <t>ПС 35/10 кВ "Хорошово"</t>
  </si>
  <si>
    <t>ПС 35/10 кВ «Верховье»</t>
  </si>
  <si>
    <t>ПС 35/10 кВ «Герчики»</t>
  </si>
  <si>
    <t>ПС 35/10 кВ «Селезни»</t>
  </si>
  <si>
    <t>ПС 35/6 кВ "ЯО 100/6"</t>
  </si>
  <si>
    <t>ПС 35/10 кВ "Екимовичи"</t>
  </si>
  <si>
    <t>ПС 35/10 кВ "Богданово"</t>
  </si>
  <si>
    <t>40732770</t>
  </si>
  <si>
    <t>40733474</t>
  </si>
  <si>
    <t>40738052</t>
  </si>
  <si>
    <t>40738703</t>
  </si>
  <si>
    <t>40741408</t>
  </si>
  <si>
    <t>40741532</t>
  </si>
  <si>
    <t>40744701</t>
  </si>
  <si>
    <t>40746296</t>
  </si>
  <si>
    <t>40743812</t>
  </si>
  <si>
    <t>40747083</t>
  </si>
  <si>
    <t>40746305</t>
  </si>
  <si>
    <t>40746313</t>
  </si>
  <si>
    <t>40747010</t>
  </si>
  <si>
    <t>40745780</t>
  </si>
  <si>
    <t>40746322</t>
  </si>
  <si>
    <t>40747037</t>
  </si>
  <si>
    <t>40747058</t>
  </si>
  <si>
    <t>40745231</t>
  </si>
  <si>
    <t>40747623</t>
  </si>
  <si>
    <t>40747636</t>
  </si>
  <si>
    <t>40751339</t>
  </si>
  <si>
    <t>40747210</t>
  </si>
  <si>
    <t>40747652</t>
  </si>
  <si>
    <t>40751291</t>
  </si>
  <si>
    <t>40750810</t>
  </si>
  <si>
    <t>40753724</t>
  </si>
  <si>
    <t>40746283</t>
  </si>
  <si>
    <t>40751340</t>
  </si>
  <si>
    <t>40751351</t>
  </si>
  <si>
    <t>40751365</t>
  </si>
  <si>
    <t>40751381</t>
  </si>
  <si>
    <t>40750825</t>
  </si>
  <si>
    <t>40751399</t>
  </si>
  <si>
    <t>40750839</t>
  </si>
  <si>
    <t>40751409</t>
  </si>
  <si>
    <t>40751508</t>
  </si>
  <si>
    <t>40751515</t>
  </si>
  <si>
    <t>40751525</t>
  </si>
  <si>
    <t>40751535</t>
  </si>
  <si>
    <t>40750853</t>
  </si>
  <si>
    <t>40750864</t>
  </si>
  <si>
    <t>40755691</t>
  </si>
  <si>
    <t>40755857</t>
  </si>
  <si>
    <t>40750911</t>
  </si>
  <si>
    <t>40753741</t>
  </si>
  <si>
    <t>40750149</t>
  </si>
  <si>
    <t>40753769</t>
  </si>
  <si>
    <t>40753786</t>
  </si>
  <si>
    <t>40753792</t>
  </si>
  <si>
    <t>40753800</t>
  </si>
  <si>
    <t>40753812</t>
  </si>
  <si>
    <t>40753824</t>
  </si>
  <si>
    <t>40753837</t>
  </si>
  <si>
    <t>40757369</t>
  </si>
  <si>
    <t>40756594</t>
  </si>
  <si>
    <t>40755873</t>
  </si>
  <si>
    <t>40753887</t>
  </si>
  <si>
    <t>40753911</t>
  </si>
  <si>
    <t>40753872</t>
  </si>
  <si>
    <t>40755395</t>
  </si>
  <si>
    <t>40755413</t>
  </si>
  <si>
    <t>40755432</t>
  </si>
  <si>
    <t>40755456</t>
  </si>
  <si>
    <t>40755486</t>
  </si>
  <si>
    <t>40755517</t>
  </si>
  <si>
    <t>40756607</t>
  </si>
  <si>
    <t>40756624</t>
  </si>
  <si>
    <t>40756635</t>
  </si>
  <si>
    <t>40756700</t>
  </si>
  <si>
    <t>40757018</t>
  </si>
  <si>
    <t>40759788</t>
  </si>
  <si>
    <t>40762982</t>
  </si>
  <si>
    <t>40761522</t>
  </si>
  <si>
    <t>40759807</t>
  </si>
  <si>
    <t>40757381</t>
  </si>
  <si>
    <t>40757388</t>
  </si>
  <si>
    <t>40757422</t>
  </si>
  <si>
    <t>40759650</t>
  </si>
  <si>
    <t>40753816</t>
  </si>
  <si>
    <t>40753883</t>
  </si>
  <si>
    <t>40753982</t>
  </si>
  <si>
    <t>40759742</t>
  </si>
  <si>
    <t>40759804</t>
  </si>
  <si>
    <t>40761825</t>
  </si>
  <si>
    <t>40759839</t>
  </si>
  <si>
    <t>40761956</t>
  </si>
  <si>
    <t>40760446</t>
  </si>
  <si>
    <t>40760486</t>
  </si>
  <si>
    <t>40760510</t>
  </si>
  <si>
    <t>40754238</t>
  </si>
  <si>
    <t>40761978</t>
  </si>
  <si>
    <t>40752270</t>
  </si>
  <si>
    <t>40752458</t>
  </si>
  <si>
    <t>40753856</t>
  </si>
  <si>
    <t>40757445</t>
  </si>
  <si>
    <t>40761041</t>
  </si>
  <si>
    <t>40762096</t>
  </si>
  <si>
    <t>40760559</t>
  </si>
  <si>
    <t>40762174</t>
  </si>
  <si>
    <t>40762358</t>
  </si>
  <si>
    <t>40762475</t>
  </si>
  <si>
    <t>40762501</t>
  </si>
  <si>
    <t>40762531</t>
  </si>
  <si>
    <t>40762559</t>
  </si>
  <si>
    <t>40762575</t>
  </si>
  <si>
    <t>40762588</t>
  </si>
  <si>
    <t>40762608</t>
  </si>
  <si>
    <t>40762636</t>
  </si>
  <si>
    <t>40762656</t>
  </si>
  <si>
    <t>40762673</t>
  </si>
  <si>
    <t>40762712</t>
  </si>
  <si>
    <t>40762748</t>
  </si>
  <si>
    <t>40762846</t>
  </si>
  <si>
    <t>40762854</t>
  </si>
  <si>
    <t>40759035</t>
  </si>
  <si>
    <t>40762994</t>
  </si>
  <si>
    <t>40762867</t>
  </si>
  <si>
    <t>40762899</t>
  </si>
  <si>
    <t>40762912</t>
  </si>
  <si>
    <t>40762919</t>
  </si>
  <si>
    <t>40762949</t>
  </si>
  <si>
    <t>40763008</t>
  </si>
  <si>
    <t>40763109</t>
  </si>
  <si>
    <t>40763135</t>
  </si>
  <si>
    <t>40763146</t>
  </si>
  <si>
    <t>40763159</t>
  </si>
  <si>
    <t>40762777</t>
  </si>
  <si>
    <t>40763171</t>
  </si>
  <si>
    <t>40760466</t>
  </si>
  <si>
    <t>40761094</t>
  </si>
  <si>
    <t>40761572</t>
  </si>
  <si>
    <t>40757439</t>
  </si>
  <si>
    <t>40757449</t>
  </si>
  <si>
    <t>40761497</t>
  </si>
  <si>
    <t>40757469</t>
  </si>
  <si>
    <t>40761136</t>
  </si>
  <si>
    <t>40757496</t>
  </si>
  <si>
    <t>40762129</t>
  </si>
  <si>
    <t>40757478</t>
  </si>
  <si>
    <t>40761627</t>
  </si>
  <si>
    <t>40762140</t>
  </si>
  <si>
    <t>40759625</t>
  </si>
  <si>
    <t>40758843</t>
  </si>
  <si>
    <t>40762219</t>
  </si>
  <si>
    <t>40762162</t>
  </si>
  <si>
    <t>40757336</t>
  </si>
  <si>
    <t>40762243</t>
  </si>
  <si>
    <t>40762651</t>
  </si>
  <si>
    <t>40762187</t>
  </si>
  <si>
    <t>40762676</t>
  </si>
  <si>
    <t>40762727</t>
  </si>
  <si>
    <t>40763246</t>
  </si>
  <si>
    <t>40763581</t>
  </si>
  <si>
    <t>40763611</t>
  </si>
  <si>
    <t>40759917</t>
  </si>
  <si>
    <t>40764627</t>
  </si>
  <si>
    <t>40764804</t>
  </si>
  <si>
    <t>40764848</t>
  </si>
  <si>
    <t>40764879</t>
  </si>
  <si>
    <t>40764910</t>
  </si>
  <si>
    <t>40764953</t>
  </si>
  <si>
    <t>40764978</t>
  </si>
  <si>
    <t>40765419</t>
  </si>
  <si>
    <t>40762149</t>
  </si>
  <si>
    <t>40764770</t>
  </si>
  <si>
    <t>40765248</t>
  </si>
  <si>
    <t>40764798</t>
  </si>
  <si>
    <t>40765447</t>
  </si>
  <si>
    <t>40767010</t>
  </si>
  <si>
    <t>40767034</t>
  </si>
  <si>
    <t>40765042</t>
  </si>
  <si>
    <t>40766010</t>
  </si>
  <si>
    <t>40766024</t>
  </si>
  <si>
    <t>40767137</t>
  </si>
  <si>
    <t>40767159</t>
  </si>
  <si>
    <t>40757358</t>
  </si>
  <si>
    <t>40761168</t>
  </si>
  <si>
    <t>40764826</t>
  </si>
  <si>
    <t>40766770</t>
  </si>
  <si>
    <t>40764116</t>
  </si>
  <si>
    <t>40758069</t>
  </si>
  <si>
    <t>40763180</t>
  </si>
  <si>
    <t>40762617</t>
  </si>
  <si>
    <t>40764332</t>
  </si>
  <si>
    <t>40768120</t>
  </si>
  <si>
    <t>40759574</t>
  </si>
  <si>
    <t>40766119</t>
  </si>
  <si>
    <t>40764148</t>
  </si>
  <si>
    <t>40767586</t>
  </si>
  <si>
    <t>40768148</t>
  </si>
  <si>
    <t>40767606</t>
  </si>
  <si>
    <t>40767651</t>
  </si>
  <si>
    <t>40768578</t>
  </si>
  <si>
    <t>40768597</t>
  </si>
  <si>
    <t>40768195</t>
  </si>
  <si>
    <t>40768241</t>
  </si>
  <si>
    <t>40767673</t>
  </si>
  <si>
    <t>40768377</t>
  </si>
  <si>
    <t>40768236</t>
  </si>
  <si>
    <t>40769067</t>
  </si>
  <si>
    <t>40768606</t>
  </si>
  <si>
    <t>40728484</t>
  </si>
  <si>
    <t>40743108</t>
  </si>
  <si>
    <t>40743123</t>
  </si>
  <si>
    <t>40743962</t>
  </si>
  <si>
    <t>40745187</t>
  </si>
  <si>
    <t>40749224</t>
  </si>
  <si>
    <t>40744974</t>
  </si>
  <si>
    <t>40746869</t>
  </si>
  <si>
    <t>40751166</t>
  </si>
  <si>
    <t>40751202</t>
  </si>
  <si>
    <t>40751264</t>
  </si>
  <si>
    <t>40752353</t>
  </si>
  <si>
    <t>40752310</t>
  </si>
  <si>
    <t>40752332</t>
  </si>
  <si>
    <t>40752931</t>
  </si>
  <si>
    <t>40752949</t>
  </si>
  <si>
    <t>40750514</t>
  </si>
  <si>
    <t>40752966</t>
  </si>
  <si>
    <t>40752988</t>
  </si>
  <si>
    <t>40754268</t>
  </si>
  <si>
    <t>40754290</t>
  </si>
  <si>
    <t>40756225</t>
  </si>
  <si>
    <t>40756415</t>
  </si>
  <si>
    <t>40762638</t>
  </si>
  <si>
    <t>40762731</t>
  </si>
  <si>
    <t>40762832</t>
  </si>
  <si>
    <t>40761790</t>
  </si>
  <si>
    <t>40763283</t>
  </si>
  <si>
    <t>40763339</t>
  </si>
  <si>
    <t>40763385</t>
  </si>
  <si>
    <t>40763673</t>
  </si>
  <si>
    <t>40764196</t>
  </si>
  <si>
    <t>40763316</t>
  </si>
  <si>
    <t>40767189</t>
  </si>
  <si>
    <t>40767353</t>
  </si>
  <si>
    <t>40767383</t>
  </si>
  <si>
    <t>40763607</t>
  </si>
  <si>
    <t>40735508</t>
  </si>
  <si>
    <t>40739638</t>
  </si>
  <si>
    <t>40738489</t>
  </si>
  <si>
    <t>40748982</t>
  </si>
  <si>
    <t>40750440</t>
  </si>
  <si>
    <t>40748218</t>
  </si>
  <si>
    <t>40750698</t>
  </si>
  <si>
    <t>40744244</t>
  </si>
  <si>
    <t>40750394</t>
  </si>
  <si>
    <t>40750790</t>
  </si>
  <si>
    <t>40751672</t>
  </si>
  <si>
    <t>40750860</t>
  </si>
  <si>
    <t>40750892</t>
  </si>
  <si>
    <t>40752462</t>
  </si>
  <si>
    <t>40753322</t>
  </si>
  <si>
    <t>40755755</t>
  </si>
  <si>
    <t>40756496</t>
  </si>
  <si>
    <t>40756295</t>
  </si>
  <si>
    <t>40753468</t>
  </si>
  <si>
    <t>40755752</t>
  </si>
  <si>
    <t>40755762</t>
  </si>
  <si>
    <t>40756535</t>
  </si>
  <si>
    <t>40756524</t>
  </si>
  <si>
    <t>40756501</t>
  </si>
  <si>
    <t>40747798</t>
  </si>
  <si>
    <t>40756538</t>
  </si>
  <si>
    <t>40759418</t>
  </si>
  <si>
    <t>40756541</t>
  </si>
  <si>
    <t>40756494</t>
  </si>
  <si>
    <t>40760875</t>
  </si>
  <si>
    <t>40756519</t>
  </si>
  <si>
    <t>40759724</t>
  </si>
  <si>
    <t>40761826</t>
  </si>
  <si>
    <t>40761824</t>
  </si>
  <si>
    <t>40760205</t>
  </si>
  <si>
    <t>40761062</t>
  </si>
  <si>
    <t>40761603</t>
  </si>
  <si>
    <t>40760207</t>
  </si>
  <si>
    <t>40760891</t>
  </si>
  <si>
    <t>40753474</t>
  </si>
  <si>
    <t>40770135</t>
  </si>
  <si>
    <t>40732888</t>
  </si>
  <si>
    <t>40737759</t>
  </si>
  <si>
    <t>40738730</t>
  </si>
  <si>
    <t>40740953</t>
  </si>
  <si>
    <t>40745326</t>
  </si>
  <si>
    <t>40747470</t>
  </si>
  <si>
    <t>40747597</t>
  </si>
  <si>
    <t>40748108</t>
  </si>
  <si>
    <t>40748697</t>
  </si>
  <si>
    <t>40754871</t>
  </si>
  <si>
    <t>40754951</t>
  </si>
  <si>
    <t>40755014</t>
  </si>
  <si>
    <t>40755171</t>
  </si>
  <si>
    <t>40755221</t>
  </si>
  <si>
    <t>40755251</t>
  </si>
  <si>
    <t>40747080</t>
  </si>
  <si>
    <t>40751315</t>
  </si>
  <si>
    <t>40745335</t>
  </si>
  <si>
    <t>40755316</t>
  </si>
  <si>
    <t>40755997</t>
  </si>
  <si>
    <t>40757653</t>
  </si>
  <si>
    <t>40757679</t>
  </si>
  <si>
    <t>40751610</t>
  </si>
  <si>
    <t>40757729</t>
  </si>
  <si>
    <t>40758092</t>
  </si>
  <si>
    <t>40751635</t>
  </si>
  <si>
    <t>40758276</t>
  </si>
  <si>
    <t>40752163</t>
  </si>
  <si>
    <t>40758309</t>
  </si>
  <si>
    <t>40758412</t>
  </si>
  <si>
    <t>40758514</t>
  </si>
  <si>
    <t>40758923</t>
  </si>
  <si>
    <t>40759010</t>
  </si>
  <si>
    <t>40759062</t>
  </si>
  <si>
    <t>40759834</t>
  </si>
  <si>
    <t>40760279</t>
  </si>
  <si>
    <t>40759142</t>
  </si>
  <si>
    <t>40752766</t>
  </si>
  <si>
    <t>40760071</t>
  </si>
  <si>
    <t>40752622</t>
  </si>
  <si>
    <t>40752704</t>
  </si>
  <si>
    <t>40760434</t>
  </si>
  <si>
    <t>40753103</t>
  </si>
  <si>
    <t>40760489</t>
  </si>
  <si>
    <t>40756061</t>
  </si>
  <si>
    <t>40753018</t>
  </si>
  <si>
    <t>40753028</t>
  </si>
  <si>
    <t>40753037</t>
  </si>
  <si>
    <t>40754997</t>
  </si>
  <si>
    <t>40753579</t>
  </si>
  <si>
    <t>40755072</t>
  </si>
  <si>
    <t>40755216</t>
  </si>
  <si>
    <t>40755259</t>
  </si>
  <si>
    <t>40755352</t>
  </si>
  <si>
    <t>40756193</t>
  </si>
  <si>
    <t>40755323</t>
  </si>
  <si>
    <t>40762009</t>
  </si>
  <si>
    <t>40758083</t>
  </si>
  <si>
    <t>40756001</t>
  </si>
  <si>
    <t>40756029</t>
  </si>
  <si>
    <t>40752934</t>
  </si>
  <si>
    <t>40754254</t>
  </si>
  <si>
    <t>40756569</t>
  </si>
  <si>
    <t>40758113</t>
  </si>
  <si>
    <t>40756662</t>
  </si>
  <si>
    <t>40756687</t>
  </si>
  <si>
    <t>40758010</t>
  </si>
  <si>
    <t>40761457</t>
  </si>
  <si>
    <t>40759095</t>
  </si>
  <si>
    <t>40763335</t>
  </si>
  <si>
    <t>40763926</t>
  </si>
  <si>
    <t>40764054</t>
  </si>
  <si>
    <t>40764129</t>
  </si>
  <si>
    <t>40764186</t>
  </si>
  <si>
    <t>40765055</t>
  </si>
  <si>
    <t>40765098</t>
  </si>
  <si>
    <t>40765175</t>
  </si>
  <si>
    <t>40760227</t>
  </si>
  <si>
    <t>40765985</t>
  </si>
  <si>
    <t>40759623</t>
  </si>
  <si>
    <t>40766027</t>
  </si>
  <si>
    <t>40759750</t>
  </si>
  <si>
    <t>40755387</t>
  </si>
  <si>
    <t>40761421</t>
  </si>
  <si>
    <t>40768258</t>
  </si>
  <si>
    <t>40767575</t>
  </si>
  <si>
    <t>40766511</t>
  </si>
  <si>
    <t>40767806</t>
  </si>
  <si>
    <t>40769093</t>
  </si>
  <si>
    <t>40769179</t>
  </si>
  <si>
    <t>40769435</t>
  </si>
  <si>
    <t>40769741</t>
  </si>
  <si>
    <t>40767021</t>
  </si>
  <si>
    <t>40723227</t>
  </si>
  <si>
    <t>40739557</t>
  </si>
  <si>
    <t>40740446</t>
  </si>
  <si>
    <t>40741462</t>
  </si>
  <si>
    <t>40741578</t>
  </si>
  <si>
    <t>40745861</t>
  </si>
  <si>
    <t>40745527</t>
  </si>
  <si>
    <t>40745573</t>
  </si>
  <si>
    <t>40745777</t>
  </si>
  <si>
    <t>40745801</t>
  </si>
  <si>
    <t>40747599</t>
  </si>
  <si>
    <t>40747735</t>
  </si>
  <si>
    <t>40745410</t>
  </si>
  <si>
    <t>40751216</t>
  </si>
  <si>
    <t>40751272</t>
  </si>
  <si>
    <t>40750054</t>
  </si>
  <si>
    <t>40752364</t>
  </si>
  <si>
    <t>40753215</t>
  </si>
  <si>
    <t>40753791</t>
  </si>
  <si>
    <t>40753894</t>
  </si>
  <si>
    <t>40748335</t>
  </si>
  <si>
    <t>40753926</t>
  </si>
  <si>
    <t>40754768</t>
  </si>
  <si>
    <t>40754797</t>
  </si>
  <si>
    <t>40754866</t>
  </si>
  <si>
    <t>40754955</t>
  </si>
  <si>
    <t>40755100</t>
  </si>
  <si>
    <t>40755148</t>
  </si>
  <si>
    <t>40756838</t>
  </si>
  <si>
    <t>40756869</t>
  </si>
  <si>
    <t>40756895</t>
  </si>
  <si>
    <t>40756949</t>
  </si>
  <si>
    <t>40756985</t>
  </si>
  <si>
    <t>40757004</t>
  </si>
  <si>
    <t>40757492</t>
  </si>
  <si>
    <t>40757540</t>
  </si>
  <si>
    <t>40757660</t>
  </si>
  <si>
    <t>40757582</t>
  </si>
  <si>
    <t>40758657</t>
  </si>
  <si>
    <t>40754878</t>
  </si>
  <si>
    <t>40758713</t>
  </si>
  <si>
    <t>40758888</t>
  </si>
  <si>
    <t>40758913</t>
  </si>
  <si>
    <t>40758958</t>
  </si>
  <si>
    <t>40759004</t>
  </si>
  <si>
    <t>40750160</t>
  </si>
  <si>
    <t>40756540</t>
  </si>
  <si>
    <t>40756495</t>
  </si>
  <si>
    <t>40758767</t>
  </si>
  <si>
    <t>40753369</t>
  </si>
  <si>
    <t>40757714</t>
  </si>
  <si>
    <t>40759099</t>
  </si>
  <si>
    <t>40759518</t>
  </si>
  <si>
    <t>40759670</t>
  </si>
  <si>
    <t>40759749</t>
  </si>
  <si>
    <t>40761561</t>
  </si>
  <si>
    <t>40752381</t>
  </si>
  <si>
    <t>40762189</t>
  </si>
  <si>
    <t>40765784</t>
  </si>
  <si>
    <t>40763224</t>
  </si>
  <si>
    <t>40763255</t>
  </si>
  <si>
    <t>40763397</t>
  </si>
  <si>
    <t>40763461</t>
  </si>
  <si>
    <t>40766155</t>
  </si>
  <si>
    <t>40753863</t>
  </si>
  <si>
    <t>40766259</t>
  </si>
  <si>
    <t>40766072</t>
  </si>
  <si>
    <t>40766114</t>
  </si>
  <si>
    <t>40766920</t>
  </si>
  <si>
    <t>40766877</t>
  </si>
  <si>
    <t>40767003</t>
  </si>
  <si>
    <t>40769125</t>
  </si>
  <si>
    <t>40766819</t>
  </si>
  <si>
    <t>40765980</t>
  </si>
  <si>
    <t>40767754</t>
  </si>
  <si>
    <t>40767823</t>
  </si>
  <si>
    <t>40759569</t>
  </si>
  <si>
    <t>40769180</t>
  </si>
  <si>
    <t>40769184</t>
  </si>
  <si>
    <t>40761410</t>
  </si>
  <si>
    <t>40765225</t>
  </si>
  <si>
    <t>40763700</t>
  </si>
  <si>
    <t>40762913</t>
  </si>
  <si>
    <t>40769601</t>
  </si>
  <si>
    <t>40765208</t>
  </si>
  <si>
    <t>40765580</t>
  </si>
  <si>
    <t>40769091</t>
  </si>
  <si>
    <t>40767161</t>
  </si>
  <si>
    <t>6</t>
  </si>
  <si>
    <t>12</t>
  </si>
  <si>
    <t>ПС 35/10 кВ "Лубня"</t>
  </si>
  <si>
    <t>ПС "Западная" 110/6 кВ</t>
  </si>
  <si>
    <t>ПС 35/6кВ "Печерск"</t>
  </si>
  <si>
    <t>ПС 110/35/10кВ "Кардымово"</t>
  </si>
  <si>
    <t>ПС 110/35/6кВ "Южная"</t>
  </si>
  <si>
    <t>ПС "Лубня" 35/10 кВ</t>
  </si>
  <si>
    <t>ПС 110/35/6 кВ "Южная"</t>
  </si>
  <si>
    <t>ПС  35/6 кВ "Печерск"</t>
  </si>
  <si>
    <t>ПС 35/10 кВ  "Катынь-1"</t>
  </si>
  <si>
    <t>ПС 110/35/10 кВ "Рудня".</t>
  </si>
  <si>
    <t>ПС 35/10 кВ "Козино"</t>
  </si>
  <si>
    <t>ПС 110/35/10 кВ "Ельня".</t>
  </si>
  <si>
    <t>ПС 35/6кВ "Егорьево"</t>
  </si>
  <si>
    <t>ПС 110/35/6 кВ "Индустриальная"</t>
  </si>
  <si>
    <t>ПС 110/35/10 кВ "Десногорск"</t>
  </si>
  <si>
    <t>ПС 35/10 кВ "Екимолвичи"</t>
  </si>
  <si>
    <t>ПС 110/35/10 кВ "Гагарин"</t>
  </si>
  <si>
    <t>ПС 35/10 кВ "Мелькомбинат"</t>
  </si>
  <si>
    <t>ПС 110/10кВ "Вязьма-2"</t>
  </si>
  <si>
    <t>ПС 110/35/10 кВ Гагарин</t>
  </si>
  <si>
    <t>ПС 110//35/10 кВ "Вязьма-1"</t>
  </si>
  <si>
    <t>ПС 110/35/10кВ "Сычевка"</t>
  </si>
  <si>
    <t>ПС 35/10кВ "Кикино"</t>
  </si>
  <si>
    <t>ПС 35/10 кВ "Успенское"</t>
  </si>
  <si>
    <t>ПС 35/10 кВ "Шуйское"</t>
  </si>
  <si>
    <t>ПС 110/35/10кВ "Вязьма-1"</t>
  </si>
  <si>
    <t>ПС 110/35/6 кВ Северная</t>
  </si>
  <si>
    <t>ПС 110/6 кВ Западная</t>
  </si>
  <si>
    <t>ПС 110/6/6 кВ "Диффузион"</t>
  </si>
  <si>
    <t>Основной источник питания: ПС 110/10/6 кВ "Центральная". Резервный источник питания: ПС 110/35/6 кВ "Северная"</t>
  </si>
  <si>
    <t>ПС 110/35/6 кВ "Пронино"</t>
  </si>
  <si>
    <t xml:space="preserve"> ПС 110/35/6 кВ "Северная"</t>
  </si>
  <si>
    <t>ПС 110/6/6 кВ "Восточная"</t>
  </si>
  <si>
    <t>ПС 35/9 кВ "Красный Бор"</t>
  </si>
  <si>
    <t>ПС 110/10/6 кВ "Чернушки"</t>
  </si>
  <si>
    <t>ПС 110/6 кВ Смоленск-2</t>
  </si>
  <si>
    <t>ПС 35/6 кВ Колодня</t>
  </si>
  <si>
    <t>ПС 220/110/35/6 кВ Смоленск-1</t>
  </si>
  <si>
    <t>ПС "Южная" 110/35/6 кВ</t>
  </si>
  <si>
    <t>ПС 110/6кВ Смоленск-2</t>
  </si>
  <si>
    <t>15 раб дней</t>
  </si>
  <si>
    <t>Сведения о деятельности филиала ОАО " МРСК Центра" - "Смоленскэнерго" по технологическому присоединению за июль 2013 г.</t>
  </si>
  <si>
    <t>40762466</t>
  </si>
  <si>
    <t>ПС 110/10 кВ "Серго-Ивановское Тяговая"</t>
  </si>
  <si>
    <t>Пообъектная информация по заключенным договорам ТП за июль 2013 г.</t>
  </si>
  <si>
    <t xml:space="preserve"> ПС 110/35/6 кВ "Индустриальная"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</si>
</sst>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"/>
    <numFmt numFmtId="167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24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12" fillId="4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10" fillId="3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166" fontId="14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166" fontId="17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535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73"/>
  <sheetViews>
    <sheetView tabSelected="1" topLeftCell="A121" zoomScale="90" zoomScaleNormal="90" workbookViewId="0">
      <selection activeCell="A161" sqref="A161:XFD161"/>
    </sheetView>
  </sheetViews>
  <sheetFormatPr defaultRowHeight="15" x14ac:dyDescent="0.25"/>
  <cols>
    <col min="1" max="1" width="18.5703125" style="2" customWidth="1"/>
    <col min="2" max="2" width="6.5703125" style="2" customWidth="1"/>
    <col min="3" max="3" width="35.28515625" style="2" customWidth="1"/>
    <col min="4" max="4" width="8.85546875" style="2" customWidth="1"/>
    <col min="5" max="5" width="14" style="54" customWidth="1"/>
    <col min="6" max="6" width="10.7109375" style="2" customWidth="1"/>
    <col min="7" max="7" width="14.7109375" style="48" customWidth="1"/>
    <col min="8" max="8" width="10.7109375" style="2" customWidth="1"/>
    <col min="9" max="9" width="14.28515625" style="81" customWidth="1"/>
    <col min="10" max="10" width="8.28515625" style="2" customWidth="1"/>
    <col min="11" max="11" width="13.28515625" style="48" customWidth="1"/>
    <col min="12" max="12" width="32.42578125" style="2" customWidth="1"/>
    <col min="13" max="16384" width="9.140625" style="2"/>
  </cols>
  <sheetData>
    <row r="1" spans="1:11" x14ac:dyDescent="0.25">
      <c r="H1" s="120" t="s">
        <v>15</v>
      </c>
      <c r="I1" s="120"/>
      <c r="J1" s="120"/>
      <c r="K1" s="120"/>
    </row>
    <row r="2" spans="1:11" x14ac:dyDescent="0.25">
      <c r="A2" s="1" t="s">
        <v>677</v>
      </c>
      <c r="B2" s="3"/>
      <c r="D2" s="3"/>
      <c r="E2" s="55"/>
      <c r="F2" s="3"/>
      <c r="G2" s="45"/>
      <c r="H2" s="3"/>
      <c r="I2" s="75"/>
      <c r="J2" s="3"/>
      <c r="K2" s="45"/>
    </row>
    <row r="3" spans="1:11" ht="15.75" thickBot="1" x14ac:dyDescent="0.3">
      <c r="A3" s="25"/>
      <c r="C3" s="3"/>
      <c r="D3" s="3"/>
      <c r="E3" s="55"/>
      <c r="F3" s="3"/>
      <c r="G3" s="45"/>
      <c r="H3" s="3"/>
      <c r="I3" s="75"/>
      <c r="J3" s="3"/>
      <c r="K3" s="45"/>
    </row>
    <row r="4" spans="1:11" ht="15.75" customHeight="1" thickBot="1" x14ac:dyDescent="0.3">
      <c r="A4" s="121" t="s">
        <v>2</v>
      </c>
      <c r="B4" s="13"/>
      <c r="C4" s="121" t="s">
        <v>14</v>
      </c>
      <c r="D4" s="119" t="s">
        <v>3</v>
      </c>
      <c r="E4" s="119"/>
      <c r="F4" s="119" t="s">
        <v>4</v>
      </c>
      <c r="G4" s="119"/>
      <c r="H4" s="119" t="s">
        <v>5</v>
      </c>
      <c r="I4" s="123"/>
      <c r="J4" s="119" t="s">
        <v>6</v>
      </c>
      <c r="K4" s="119"/>
    </row>
    <row r="5" spans="1:11" ht="46.5" customHeight="1" thickBot="1" x14ac:dyDescent="0.3">
      <c r="A5" s="122"/>
      <c r="B5" s="14" t="s">
        <v>18</v>
      </c>
      <c r="C5" s="122"/>
      <c r="D5" s="119"/>
      <c r="E5" s="119"/>
      <c r="F5" s="119"/>
      <c r="G5" s="119"/>
      <c r="H5" s="119"/>
      <c r="I5" s="123"/>
      <c r="J5" s="119"/>
      <c r="K5" s="119"/>
    </row>
    <row r="6" spans="1:11" x14ac:dyDescent="0.25">
      <c r="A6" s="122"/>
      <c r="B6" s="14"/>
      <c r="C6" s="122"/>
      <c r="D6" s="13" t="s">
        <v>7</v>
      </c>
      <c r="E6" s="56" t="s">
        <v>8</v>
      </c>
      <c r="F6" s="13" t="s">
        <v>7</v>
      </c>
      <c r="G6" s="46" t="s">
        <v>8</v>
      </c>
      <c r="H6" s="13" t="s">
        <v>7</v>
      </c>
      <c r="I6" s="76" t="s">
        <v>8</v>
      </c>
      <c r="J6" s="13" t="s">
        <v>7</v>
      </c>
      <c r="K6" s="46" t="s">
        <v>8</v>
      </c>
    </row>
    <row r="7" spans="1:11" x14ac:dyDescent="0.25">
      <c r="A7" s="10"/>
      <c r="B7" s="10"/>
      <c r="C7" s="11" t="s">
        <v>16</v>
      </c>
      <c r="D7" s="12">
        <f>SUM(D8:D91)</f>
        <v>183</v>
      </c>
      <c r="E7" s="44">
        <f>SUM(E8:E91)</f>
        <v>3.5846</v>
      </c>
      <c r="F7" s="12">
        <f>SUM(F8:F91)</f>
        <v>235</v>
      </c>
      <c r="G7" s="51">
        <f>SUM(G8:G91)</f>
        <v>3.7108999999999988</v>
      </c>
      <c r="H7" s="12">
        <f>SUM(H8:H91)</f>
        <v>232</v>
      </c>
      <c r="I7" s="77">
        <f>SUM(I8:I91)</f>
        <v>3.0820399999999997</v>
      </c>
      <c r="J7" s="12">
        <f>SUM(J8:J91)</f>
        <v>15</v>
      </c>
      <c r="K7" s="51">
        <f>SUM(K8:K91)</f>
        <v>0.56579999999999997</v>
      </c>
    </row>
    <row r="8" spans="1:11" s="4" customFormat="1" ht="15.75" x14ac:dyDescent="0.25">
      <c r="A8" s="7" t="s">
        <v>20</v>
      </c>
      <c r="B8" s="7">
        <v>1</v>
      </c>
      <c r="C8" s="100" t="s">
        <v>127</v>
      </c>
      <c r="D8" s="8">
        <v>3</v>
      </c>
      <c r="E8" s="20">
        <f>77/1000</f>
        <v>7.6999999999999999E-2</v>
      </c>
      <c r="F8" s="8">
        <f>3+2</f>
        <v>5</v>
      </c>
      <c r="G8" s="52">
        <f>(118+19.5)/1000</f>
        <v>0.13750000000000001</v>
      </c>
      <c r="H8" s="8">
        <f>9+1</f>
        <v>10</v>
      </c>
      <c r="I8" s="93">
        <f>(268.85+8)/1000</f>
        <v>0.27685000000000004</v>
      </c>
      <c r="J8" s="8">
        <v>0</v>
      </c>
      <c r="K8" s="89">
        <v>0</v>
      </c>
    </row>
    <row r="9" spans="1:11" ht="15.75" x14ac:dyDescent="0.25">
      <c r="A9" s="7" t="s">
        <v>20</v>
      </c>
      <c r="B9" s="7">
        <f>B8+1</f>
        <v>2</v>
      </c>
      <c r="C9" s="100" t="s">
        <v>102</v>
      </c>
      <c r="D9" s="7">
        <f>1+12</f>
        <v>13</v>
      </c>
      <c r="E9" s="19">
        <f>(15+134)/1000</f>
        <v>0.14899999999999999</v>
      </c>
      <c r="F9" s="7">
        <f>3+19</f>
        <v>22</v>
      </c>
      <c r="G9" s="57">
        <f>(27+205)/1000</f>
        <v>0.23200000000000001</v>
      </c>
      <c r="H9" s="7">
        <f>6+4</f>
        <v>10</v>
      </c>
      <c r="I9" s="90">
        <f>(64.8+70)/1000</f>
        <v>0.1348</v>
      </c>
      <c r="J9" s="8">
        <v>0</v>
      </c>
      <c r="K9" s="89">
        <v>0</v>
      </c>
    </row>
    <row r="10" spans="1:11" ht="15.75" x14ac:dyDescent="0.25">
      <c r="A10" s="7" t="s">
        <v>20</v>
      </c>
      <c r="B10" s="7">
        <f t="shared" ref="B10:B73" si="0">B9+1</f>
        <v>3</v>
      </c>
      <c r="C10" s="100" t="s">
        <v>103</v>
      </c>
      <c r="D10" s="7">
        <f>1+1</f>
        <v>2</v>
      </c>
      <c r="E10" s="19">
        <f>(15+50)/1000</f>
        <v>6.5000000000000002E-2</v>
      </c>
      <c r="F10" s="7">
        <v>3</v>
      </c>
      <c r="G10" s="53">
        <f>35/1000</f>
        <v>3.5000000000000003E-2</v>
      </c>
      <c r="H10" s="8">
        <v>3</v>
      </c>
      <c r="I10" s="92">
        <f>34/1000</f>
        <v>3.4000000000000002E-2</v>
      </c>
      <c r="J10" s="8">
        <v>0</v>
      </c>
      <c r="K10" s="89">
        <v>0</v>
      </c>
    </row>
    <row r="11" spans="1:11" ht="15.75" x14ac:dyDescent="0.25">
      <c r="A11" s="7" t="s">
        <v>20</v>
      </c>
      <c r="B11" s="7">
        <f t="shared" si="0"/>
        <v>4</v>
      </c>
      <c r="C11" s="100" t="s">
        <v>63</v>
      </c>
      <c r="D11" s="7">
        <v>5</v>
      </c>
      <c r="E11" s="19">
        <f>60/1000</f>
        <v>0.06</v>
      </c>
      <c r="F11" s="7">
        <v>5</v>
      </c>
      <c r="G11" s="53">
        <f>68/1000</f>
        <v>6.8000000000000005E-2</v>
      </c>
      <c r="H11" s="8">
        <v>4</v>
      </c>
      <c r="I11" s="92">
        <f>47/1000</f>
        <v>4.7E-2</v>
      </c>
      <c r="J11" s="8">
        <v>0</v>
      </c>
      <c r="K11" s="89">
        <v>0</v>
      </c>
    </row>
    <row r="12" spans="1:11" ht="15.75" x14ac:dyDescent="0.25">
      <c r="A12" s="7" t="s">
        <v>20</v>
      </c>
      <c r="B12" s="7">
        <f t="shared" si="0"/>
        <v>5</v>
      </c>
      <c r="C12" s="100" t="s">
        <v>104</v>
      </c>
      <c r="D12" s="7">
        <v>1</v>
      </c>
      <c r="E12" s="19">
        <f>10/1000</f>
        <v>0.01</v>
      </c>
      <c r="F12" s="7">
        <v>0</v>
      </c>
      <c r="G12" s="57">
        <v>0</v>
      </c>
      <c r="H12" s="7">
        <v>2</v>
      </c>
      <c r="I12" s="90">
        <f>30/1000</f>
        <v>0.03</v>
      </c>
      <c r="J12" s="8">
        <v>0</v>
      </c>
      <c r="K12" s="89">
        <v>0</v>
      </c>
    </row>
    <row r="13" spans="1:11" ht="15.75" x14ac:dyDescent="0.25">
      <c r="A13" s="7" t="s">
        <v>20</v>
      </c>
      <c r="B13" s="7">
        <f t="shared" si="0"/>
        <v>6</v>
      </c>
      <c r="C13" s="100" t="s">
        <v>105</v>
      </c>
      <c r="D13" s="7">
        <v>1</v>
      </c>
      <c r="E13" s="19">
        <f>15/1000</f>
        <v>1.4999999999999999E-2</v>
      </c>
      <c r="F13" s="7">
        <v>1</v>
      </c>
      <c r="G13" s="53">
        <f>15/1000</f>
        <v>1.4999999999999999E-2</v>
      </c>
      <c r="H13" s="8">
        <v>0</v>
      </c>
      <c r="I13" s="8">
        <v>0</v>
      </c>
      <c r="J13" s="8">
        <v>0</v>
      </c>
      <c r="K13" s="89">
        <v>0</v>
      </c>
    </row>
    <row r="14" spans="1:11" ht="15.75" x14ac:dyDescent="0.25">
      <c r="A14" s="7" t="s">
        <v>20</v>
      </c>
      <c r="B14" s="7">
        <f t="shared" si="0"/>
        <v>7</v>
      </c>
      <c r="C14" s="100" t="s">
        <v>106</v>
      </c>
      <c r="D14" s="7">
        <v>1</v>
      </c>
      <c r="E14" s="19">
        <f>11/1000</f>
        <v>1.0999999999999999E-2</v>
      </c>
      <c r="F14" s="7">
        <v>0</v>
      </c>
      <c r="G14" s="53">
        <v>0</v>
      </c>
      <c r="H14" s="8">
        <v>0</v>
      </c>
      <c r="I14" s="8">
        <v>0</v>
      </c>
      <c r="J14" s="8">
        <v>2</v>
      </c>
      <c r="K14" s="89">
        <f>29.8/1000</f>
        <v>2.98E-2</v>
      </c>
    </row>
    <row r="15" spans="1:11" ht="15.75" x14ac:dyDescent="0.25">
      <c r="A15" s="7" t="s">
        <v>20</v>
      </c>
      <c r="B15" s="7">
        <f t="shared" si="0"/>
        <v>8</v>
      </c>
      <c r="C15" s="100" t="s">
        <v>107</v>
      </c>
      <c r="D15" s="7">
        <v>1</v>
      </c>
      <c r="E15" s="19">
        <f>5/1000</f>
        <v>5.0000000000000001E-3</v>
      </c>
      <c r="F15" s="7">
        <v>0</v>
      </c>
      <c r="G15" s="53">
        <v>0</v>
      </c>
      <c r="H15" s="8">
        <v>0</v>
      </c>
      <c r="I15" s="8">
        <v>0</v>
      </c>
      <c r="J15" s="8">
        <v>0</v>
      </c>
      <c r="K15" s="89">
        <v>0</v>
      </c>
    </row>
    <row r="16" spans="1:11" ht="15.75" x14ac:dyDescent="0.25">
      <c r="A16" s="7" t="s">
        <v>20</v>
      </c>
      <c r="B16" s="7">
        <f t="shared" si="0"/>
        <v>9</v>
      </c>
      <c r="C16" s="100" t="s">
        <v>108</v>
      </c>
      <c r="D16" s="7">
        <v>1</v>
      </c>
      <c r="E16" s="19">
        <f>8/1000</f>
        <v>8.0000000000000002E-3</v>
      </c>
      <c r="F16" s="7">
        <v>1</v>
      </c>
      <c r="G16" s="53">
        <f>8/1000</f>
        <v>8.0000000000000002E-3</v>
      </c>
      <c r="H16" s="8">
        <v>0</v>
      </c>
      <c r="I16" s="8">
        <v>0</v>
      </c>
      <c r="J16" s="8">
        <v>0</v>
      </c>
      <c r="K16" s="89">
        <v>0</v>
      </c>
    </row>
    <row r="17" spans="1:11" ht="15.75" x14ac:dyDescent="0.25">
      <c r="A17" s="7" t="s">
        <v>20</v>
      </c>
      <c r="B17" s="7">
        <f t="shared" si="0"/>
        <v>10</v>
      </c>
      <c r="C17" s="100" t="s">
        <v>172</v>
      </c>
      <c r="D17" s="7">
        <f>1+18+3</f>
        <v>22</v>
      </c>
      <c r="E17" s="19">
        <f>(6+219.2+35.8)/1000</f>
        <v>0.26100000000000001</v>
      </c>
      <c r="F17" s="7">
        <f>13+1</f>
        <v>14</v>
      </c>
      <c r="G17" s="53">
        <f>(158.3+15)/1000</f>
        <v>0.17330000000000001</v>
      </c>
      <c r="H17" s="8">
        <v>10</v>
      </c>
      <c r="I17" s="92">
        <f>115.4/1000</f>
        <v>0.1154</v>
      </c>
      <c r="J17" s="8">
        <f>1+2</f>
        <v>3</v>
      </c>
      <c r="K17" s="89">
        <f>(6+12)/1000</f>
        <v>1.7999999999999999E-2</v>
      </c>
    </row>
    <row r="18" spans="1:11" ht="15.75" x14ac:dyDescent="0.25">
      <c r="A18" s="7" t="s">
        <v>20</v>
      </c>
      <c r="B18" s="7">
        <f t="shared" si="0"/>
        <v>11</v>
      </c>
      <c r="C18" s="100" t="s">
        <v>109</v>
      </c>
      <c r="D18" s="7">
        <v>1</v>
      </c>
      <c r="E18" s="19">
        <f>5/1000</f>
        <v>5.0000000000000001E-3</v>
      </c>
      <c r="F18" s="7">
        <v>0</v>
      </c>
      <c r="G18" s="53">
        <v>0</v>
      </c>
      <c r="H18" s="7">
        <v>0</v>
      </c>
      <c r="I18" s="90">
        <v>0</v>
      </c>
      <c r="J18" s="8">
        <v>0</v>
      </c>
      <c r="K18" s="89">
        <v>0</v>
      </c>
    </row>
    <row r="19" spans="1:11" ht="15.75" x14ac:dyDescent="0.25">
      <c r="A19" s="7" t="s">
        <v>20</v>
      </c>
      <c r="B19" s="7">
        <f t="shared" si="0"/>
        <v>12</v>
      </c>
      <c r="C19" s="100" t="s">
        <v>64</v>
      </c>
      <c r="D19" s="7">
        <v>5</v>
      </c>
      <c r="E19" s="19">
        <f>49/1000</f>
        <v>4.9000000000000002E-2</v>
      </c>
      <c r="F19" s="7">
        <v>12</v>
      </c>
      <c r="G19" s="53">
        <f>105/1000</f>
        <v>0.105</v>
      </c>
      <c r="H19" s="7">
        <f>13+4</f>
        <v>17</v>
      </c>
      <c r="I19" s="90">
        <f>(451.8+38)/1000</f>
        <v>0.48980000000000001</v>
      </c>
      <c r="J19" s="8">
        <v>0</v>
      </c>
      <c r="K19" s="89">
        <v>0</v>
      </c>
    </row>
    <row r="20" spans="1:11" ht="15.75" x14ac:dyDescent="0.25">
      <c r="A20" s="7" t="s">
        <v>20</v>
      </c>
      <c r="B20" s="7">
        <f t="shared" si="0"/>
        <v>13</v>
      </c>
      <c r="C20" s="100" t="s">
        <v>65</v>
      </c>
      <c r="D20" s="7">
        <v>1</v>
      </c>
      <c r="E20" s="19">
        <f>15/1000</f>
        <v>1.4999999999999999E-2</v>
      </c>
      <c r="F20" s="7">
        <v>1</v>
      </c>
      <c r="G20" s="53">
        <f>8/1000</f>
        <v>8.0000000000000002E-3</v>
      </c>
      <c r="H20" s="8">
        <v>0</v>
      </c>
      <c r="I20" s="94">
        <v>0</v>
      </c>
      <c r="J20" s="8">
        <v>0</v>
      </c>
      <c r="K20" s="89">
        <v>0</v>
      </c>
    </row>
    <row r="21" spans="1:11" s="17" customFormat="1" ht="15.75" x14ac:dyDescent="0.25">
      <c r="A21" s="7" t="s">
        <v>20</v>
      </c>
      <c r="B21" s="7">
        <f t="shared" si="0"/>
        <v>14</v>
      </c>
      <c r="C21" s="100" t="s">
        <v>110</v>
      </c>
      <c r="D21" s="7">
        <v>1</v>
      </c>
      <c r="E21" s="19">
        <f>12/1000</f>
        <v>1.2E-2</v>
      </c>
      <c r="F21" s="8">
        <v>0</v>
      </c>
      <c r="G21" s="52">
        <v>0</v>
      </c>
      <c r="H21" s="8">
        <v>0</v>
      </c>
      <c r="I21" s="94">
        <v>0</v>
      </c>
      <c r="J21" s="8">
        <v>0</v>
      </c>
      <c r="K21" s="89">
        <v>0</v>
      </c>
    </row>
    <row r="22" spans="1:11" s="17" customFormat="1" ht="15.75" x14ac:dyDescent="0.25">
      <c r="A22" s="7" t="s">
        <v>20</v>
      </c>
      <c r="B22" s="7">
        <f t="shared" si="0"/>
        <v>15</v>
      </c>
      <c r="C22" s="100" t="s">
        <v>66</v>
      </c>
      <c r="D22" s="7">
        <f>2+1</f>
        <v>3</v>
      </c>
      <c r="E22" s="19">
        <f>(11+12)/1000</f>
        <v>2.3E-2</v>
      </c>
      <c r="F22" s="7">
        <v>1</v>
      </c>
      <c r="G22" s="70">
        <f>6/1000</f>
        <v>6.0000000000000001E-3</v>
      </c>
      <c r="H22" s="8">
        <v>0</v>
      </c>
      <c r="I22" s="94">
        <v>0</v>
      </c>
      <c r="J22" s="8">
        <v>0</v>
      </c>
      <c r="K22" s="89">
        <v>0</v>
      </c>
    </row>
    <row r="23" spans="1:11" s="18" customFormat="1" ht="15.75" x14ac:dyDescent="0.25">
      <c r="A23" s="7" t="s">
        <v>20</v>
      </c>
      <c r="B23" s="7">
        <f t="shared" si="0"/>
        <v>16</v>
      </c>
      <c r="C23" s="100" t="s">
        <v>67</v>
      </c>
      <c r="D23" s="7">
        <v>2</v>
      </c>
      <c r="E23" s="19">
        <f>30/1000</f>
        <v>0.03</v>
      </c>
      <c r="F23" s="7">
        <v>3</v>
      </c>
      <c r="G23" s="70">
        <f>34/1000</f>
        <v>3.4000000000000002E-2</v>
      </c>
      <c r="H23" s="8">
        <v>1</v>
      </c>
      <c r="I23" s="93">
        <f>15/1000</f>
        <v>1.4999999999999999E-2</v>
      </c>
      <c r="J23" s="8">
        <v>0</v>
      </c>
      <c r="K23" s="89">
        <v>0</v>
      </c>
    </row>
    <row r="24" spans="1:11" s="23" customFormat="1" ht="15.75" x14ac:dyDescent="0.25">
      <c r="A24" s="7" t="s">
        <v>20</v>
      </c>
      <c r="B24" s="7">
        <f t="shared" si="0"/>
        <v>17</v>
      </c>
      <c r="C24" s="100" t="s">
        <v>111</v>
      </c>
      <c r="D24" s="7">
        <v>1</v>
      </c>
      <c r="E24" s="19">
        <f>15/1000</f>
        <v>1.4999999999999999E-2</v>
      </c>
      <c r="F24" s="7">
        <v>1</v>
      </c>
      <c r="G24" s="70">
        <f>15/1000</f>
        <v>1.4999999999999999E-2</v>
      </c>
      <c r="H24" s="7">
        <v>0</v>
      </c>
      <c r="I24" s="90">
        <v>0</v>
      </c>
      <c r="J24" s="8">
        <v>0</v>
      </c>
      <c r="K24" s="89">
        <v>0</v>
      </c>
    </row>
    <row r="25" spans="1:11" s="24" customFormat="1" ht="15.75" x14ac:dyDescent="0.25">
      <c r="A25" s="7" t="s">
        <v>20</v>
      </c>
      <c r="B25" s="7">
        <f t="shared" si="0"/>
        <v>18</v>
      </c>
      <c r="C25" s="100" t="s">
        <v>62</v>
      </c>
      <c r="D25" s="7">
        <v>4</v>
      </c>
      <c r="E25" s="19">
        <f>59/1000</f>
        <v>5.8999999999999997E-2</v>
      </c>
      <c r="F25" s="8">
        <f>1+2</f>
        <v>3</v>
      </c>
      <c r="G25" s="52">
        <f>(7+(23+15))/1000</f>
        <v>4.4999999999999998E-2</v>
      </c>
      <c r="H25" s="8">
        <v>1</v>
      </c>
      <c r="I25" s="93">
        <f>15/1000</f>
        <v>1.4999999999999999E-2</v>
      </c>
      <c r="J25" s="8">
        <v>0</v>
      </c>
      <c r="K25" s="89">
        <v>0</v>
      </c>
    </row>
    <row r="26" spans="1:11" s="24" customFormat="1" ht="15.75" x14ac:dyDescent="0.25">
      <c r="A26" s="7" t="s">
        <v>20</v>
      </c>
      <c r="B26" s="7">
        <f t="shared" si="0"/>
        <v>19</v>
      </c>
      <c r="C26" s="100" t="s">
        <v>112</v>
      </c>
      <c r="D26" s="7">
        <v>2</v>
      </c>
      <c r="E26" s="19">
        <f>20/1000</f>
        <v>0.02</v>
      </c>
      <c r="F26" s="8">
        <f>1+1</f>
        <v>2</v>
      </c>
      <c r="G26" s="52">
        <f>(12+8)/1000</f>
        <v>0.02</v>
      </c>
      <c r="H26" s="8">
        <v>0</v>
      </c>
      <c r="I26" s="93">
        <v>0</v>
      </c>
      <c r="J26" s="8">
        <v>0</v>
      </c>
      <c r="K26" s="89">
        <v>0</v>
      </c>
    </row>
    <row r="27" spans="1:11" s="41" customFormat="1" ht="15.75" x14ac:dyDescent="0.25">
      <c r="A27" s="7" t="s">
        <v>20</v>
      </c>
      <c r="B27" s="7">
        <f t="shared" si="0"/>
        <v>20</v>
      </c>
      <c r="C27" s="100" t="s">
        <v>113</v>
      </c>
      <c r="D27" s="7">
        <v>1</v>
      </c>
      <c r="E27" s="19">
        <f>8/1000</f>
        <v>8.0000000000000002E-3</v>
      </c>
      <c r="F27" s="7">
        <v>1</v>
      </c>
      <c r="G27" s="70">
        <f>8/1000</f>
        <v>8.0000000000000002E-3</v>
      </c>
      <c r="H27" s="8">
        <v>0</v>
      </c>
      <c r="I27" s="93">
        <v>0</v>
      </c>
      <c r="J27" s="8">
        <v>0</v>
      </c>
      <c r="K27" s="89">
        <v>0</v>
      </c>
    </row>
    <row r="28" spans="1:11" s="43" customFormat="1" ht="15.75" x14ac:dyDescent="0.25">
      <c r="A28" s="7" t="s">
        <v>20</v>
      </c>
      <c r="B28" s="7">
        <f t="shared" si="0"/>
        <v>21</v>
      </c>
      <c r="C28" s="100" t="s">
        <v>68</v>
      </c>
      <c r="D28" s="7">
        <v>2</v>
      </c>
      <c r="E28" s="22">
        <f>22/1000</f>
        <v>2.1999999999999999E-2</v>
      </c>
      <c r="F28" s="7">
        <v>2</v>
      </c>
      <c r="G28" s="70">
        <f>25/1000</f>
        <v>2.5000000000000001E-2</v>
      </c>
      <c r="H28" s="7">
        <v>4</v>
      </c>
      <c r="I28" s="90">
        <f>39.4/1000</f>
        <v>3.9399999999999998E-2</v>
      </c>
      <c r="J28" s="8">
        <v>0</v>
      </c>
      <c r="K28" s="89">
        <v>0</v>
      </c>
    </row>
    <row r="29" spans="1:11" s="49" customFormat="1" ht="15.75" x14ac:dyDescent="0.25">
      <c r="A29" s="7" t="s">
        <v>20</v>
      </c>
      <c r="B29" s="7">
        <f t="shared" si="0"/>
        <v>22</v>
      </c>
      <c r="C29" s="100" t="s">
        <v>114</v>
      </c>
      <c r="D29" s="7">
        <f>1+1</f>
        <v>2</v>
      </c>
      <c r="E29" s="19">
        <f>(14.7+400)/1000</f>
        <v>0.41470000000000001</v>
      </c>
      <c r="F29" s="8">
        <v>0</v>
      </c>
      <c r="G29" s="52">
        <v>0</v>
      </c>
      <c r="H29" s="7">
        <v>1</v>
      </c>
      <c r="I29" s="90">
        <f>9.4/1000</f>
        <v>9.4000000000000004E-3</v>
      </c>
      <c r="J29" s="8">
        <v>0</v>
      </c>
      <c r="K29" s="89">
        <v>0</v>
      </c>
    </row>
    <row r="30" spans="1:11" s="59" customFormat="1" ht="15.75" x14ac:dyDescent="0.25">
      <c r="A30" s="7" t="s">
        <v>20</v>
      </c>
      <c r="B30" s="7">
        <f t="shared" si="0"/>
        <v>23</v>
      </c>
      <c r="C30" s="100" t="s">
        <v>115</v>
      </c>
      <c r="D30" s="7">
        <v>1</v>
      </c>
      <c r="E30" s="22">
        <f>15/1000</f>
        <v>1.4999999999999999E-2</v>
      </c>
      <c r="F30" s="8">
        <v>0</v>
      </c>
      <c r="G30" s="52">
        <v>0</v>
      </c>
      <c r="H30" s="8">
        <v>0</v>
      </c>
      <c r="I30" s="93">
        <v>0</v>
      </c>
      <c r="J30" s="8">
        <v>0</v>
      </c>
      <c r="K30" s="89">
        <v>0</v>
      </c>
    </row>
    <row r="31" spans="1:11" s="50" customFormat="1" ht="15.75" x14ac:dyDescent="0.25">
      <c r="A31" s="7" t="s">
        <v>20</v>
      </c>
      <c r="B31" s="7">
        <f t="shared" si="0"/>
        <v>24</v>
      </c>
      <c r="C31" s="100" t="s">
        <v>69</v>
      </c>
      <c r="D31" s="7">
        <f>23+1</f>
        <v>24</v>
      </c>
      <c r="E31" s="22">
        <f>(266+5)/1000</f>
        <v>0.27100000000000002</v>
      </c>
      <c r="F31" s="7">
        <v>16</v>
      </c>
      <c r="G31" s="70">
        <f>206/1000</f>
        <v>0.20599999999999999</v>
      </c>
      <c r="H31" s="8">
        <v>30</v>
      </c>
      <c r="I31" s="93">
        <f>292.36/1000</f>
        <v>0.29236000000000001</v>
      </c>
      <c r="J31" s="8">
        <v>3</v>
      </c>
      <c r="K31" s="89">
        <f>32/1000</f>
        <v>3.2000000000000001E-2</v>
      </c>
    </row>
    <row r="32" spans="1:11" s="60" customFormat="1" ht="15.75" x14ac:dyDescent="0.25">
      <c r="A32" s="7" t="s">
        <v>20</v>
      </c>
      <c r="B32" s="7">
        <f t="shared" si="0"/>
        <v>25</v>
      </c>
      <c r="C32" s="100" t="s">
        <v>116</v>
      </c>
      <c r="D32" s="98">
        <v>2</v>
      </c>
      <c r="E32" s="22">
        <f>6/1000</f>
        <v>6.0000000000000001E-3</v>
      </c>
      <c r="F32" s="7">
        <v>1</v>
      </c>
      <c r="G32" s="70">
        <f>3/1000</f>
        <v>3.0000000000000001E-3</v>
      </c>
      <c r="H32" s="7">
        <v>1</v>
      </c>
      <c r="I32" s="90">
        <f>15/1000</f>
        <v>1.4999999999999999E-2</v>
      </c>
      <c r="J32" s="8">
        <v>0</v>
      </c>
      <c r="K32" s="89">
        <v>0</v>
      </c>
    </row>
    <row r="33" spans="1:11" s="62" customFormat="1" ht="15.75" x14ac:dyDescent="0.25">
      <c r="A33" s="7" t="s">
        <v>20</v>
      </c>
      <c r="B33" s="7">
        <f t="shared" si="0"/>
        <v>26</v>
      </c>
      <c r="C33" s="106" t="s">
        <v>70</v>
      </c>
      <c r="D33" s="7">
        <v>3</v>
      </c>
      <c r="E33" s="22">
        <f>19/1000</f>
        <v>1.9E-2</v>
      </c>
      <c r="F33" s="7">
        <v>3</v>
      </c>
      <c r="G33" s="70">
        <f>37/1000</f>
        <v>3.6999999999999998E-2</v>
      </c>
      <c r="H33" s="8">
        <f>1+2</f>
        <v>3</v>
      </c>
      <c r="I33" s="93">
        <f>(4.5+22)/1000</f>
        <v>2.6499999999999999E-2</v>
      </c>
      <c r="J33" s="8">
        <v>0</v>
      </c>
      <c r="K33" s="89">
        <v>0</v>
      </c>
    </row>
    <row r="34" spans="1:11" s="64" customFormat="1" ht="15.75" x14ac:dyDescent="0.25">
      <c r="A34" s="7" t="s">
        <v>20</v>
      </c>
      <c r="B34" s="7">
        <f t="shared" si="0"/>
        <v>27</v>
      </c>
      <c r="C34" s="106" t="s">
        <v>71</v>
      </c>
      <c r="D34" s="7">
        <v>1</v>
      </c>
      <c r="E34" s="19">
        <f>670/1000</f>
        <v>0.67</v>
      </c>
      <c r="F34" s="7">
        <v>1</v>
      </c>
      <c r="G34" s="70">
        <f>10/1000</f>
        <v>0.01</v>
      </c>
      <c r="H34" s="8">
        <v>2</v>
      </c>
      <c r="I34" s="93">
        <f>22/1000</f>
        <v>2.1999999999999999E-2</v>
      </c>
      <c r="J34" s="8">
        <v>0</v>
      </c>
      <c r="K34" s="89">
        <v>0</v>
      </c>
    </row>
    <row r="35" spans="1:11" s="68" customFormat="1" ht="15.75" x14ac:dyDescent="0.25">
      <c r="A35" s="7" t="s">
        <v>20</v>
      </c>
      <c r="B35" s="7">
        <f t="shared" si="0"/>
        <v>28</v>
      </c>
      <c r="C35" s="106" t="s">
        <v>72</v>
      </c>
      <c r="D35" s="98">
        <v>11</v>
      </c>
      <c r="E35" s="98">
        <f>120/1000</f>
        <v>0.12</v>
      </c>
      <c r="F35" s="8">
        <v>6</v>
      </c>
      <c r="G35" s="52">
        <f>72/1000</f>
        <v>7.1999999999999995E-2</v>
      </c>
      <c r="H35" s="7">
        <v>6</v>
      </c>
      <c r="I35" s="90">
        <f>115.25/1000</f>
        <v>0.11525000000000001</v>
      </c>
      <c r="J35" s="8">
        <v>0</v>
      </c>
      <c r="K35" s="89">
        <v>0</v>
      </c>
    </row>
    <row r="36" spans="1:11" s="68" customFormat="1" ht="15.75" x14ac:dyDescent="0.25">
      <c r="A36" s="7" t="s">
        <v>20</v>
      </c>
      <c r="B36" s="7">
        <f t="shared" si="0"/>
        <v>29</v>
      </c>
      <c r="C36" s="106" t="s">
        <v>73</v>
      </c>
      <c r="D36" s="7">
        <f>2+1</f>
        <v>3</v>
      </c>
      <c r="E36" s="19">
        <f>(29.8+6)/1000</f>
        <v>3.5799999999999998E-2</v>
      </c>
      <c r="F36" s="8">
        <v>3</v>
      </c>
      <c r="G36" s="52">
        <f>35.8/1000</f>
        <v>3.5799999999999998E-2</v>
      </c>
      <c r="H36" s="7">
        <v>2</v>
      </c>
      <c r="I36" s="90">
        <f>23/1000</f>
        <v>2.3E-2</v>
      </c>
      <c r="J36" s="8">
        <v>0</v>
      </c>
      <c r="K36" s="89">
        <v>0</v>
      </c>
    </row>
    <row r="37" spans="1:11" s="68" customFormat="1" ht="15.75" x14ac:dyDescent="0.25">
      <c r="A37" s="7" t="s">
        <v>20</v>
      </c>
      <c r="B37" s="7">
        <f t="shared" si="0"/>
        <v>30</v>
      </c>
      <c r="C37" s="106" t="s">
        <v>117</v>
      </c>
      <c r="D37" s="7">
        <v>2</v>
      </c>
      <c r="E37" s="19">
        <f>13/1000</f>
        <v>1.2999999999999999E-2</v>
      </c>
      <c r="F37" s="8">
        <v>0</v>
      </c>
      <c r="G37" s="52">
        <v>0</v>
      </c>
      <c r="H37" s="7">
        <v>0</v>
      </c>
      <c r="I37" s="90">
        <v>0</v>
      </c>
      <c r="J37" s="8">
        <v>0</v>
      </c>
      <c r="K37" s="89">
        <v>0</v>
      </c>
    </row>
    <row r="38" spans="1:11" s="65" customFormat="1" ht="15.75" x14ac:dyDescent="0.25">
      <c r="A38" s="7" t="s">
        <v>20</v>
      </c>
      <c r="B38" s="7">
        <f t="shared" si="0"/>
        <v>31</v>
      </c>
      <c r="C38" s="106" t="s">
        <v>118</v>
      </c>
      <c r="D38" s="7">
        <v>1</v>
      </c>
      <c r="E38" s="19">
        <f>12/1000</f>
        <v>1.2E-2</v>
      </c>
      <c r="F38" s="8">
        <v>0</v>
      </c>
      <c r="G38" s="52">
        <v>0</v>
      </c>
      <c r="H38" s="7">
        <v>0</v>
      </c>
      <c r="I38" s="90">
        <v>0</v>
      </c>
      <c r="J38" s="8">
        <v>0</v>
      </c>
      <c r="K38" s="89">
        <v>0</v>
      </c>
    </row>
    <row r="39" spans="1:11" s="65" customFormat="1" ht="15.75" x14ac:dyDescent="0.25">
      <c r="A39" s="7" t="s">
        <v>20</v>
      </c>
      <c r="B39" s="7">
        <f t="shared" si="0"/>
        <v>32</v>
      </c>
      <c r="C39" s="106" t="s">
        <v>119</v>
      </c>
      <c r="D39" s="7">
        <v>1</v>
      </c>
      <c r="E39" s="19">
        <f>10/1000</f>
        <v>0.01</v>
      </c>
      <c r="F39" s="8">
        <v>1</v>
      </c>
      <c r="G39" s="52">
        <f>4.5/1000</f>
        <v>4.4999999999999997E-3</v>
      </c>
      <c r="H39" s="7">
        <v>1</v>
      </c>
      <c r="I39" s="90">
        <f>4.5/1000</f>
        <v>4.4999999999999997E-3</v>
      </c>
      <c r="J39" s="8">
        <v>0</v>
      </c>
      <c r="K39" s="89">
        <v>0</v>
      </c>
    </row>
    <row r="40" spans="1:11" s="65" customFormat="1" ht="15.75" x14ac:dyDescent="0.25">
      <c r="A40" s="7" t="s">
        <v>20</v>
      </c>
      <c r="B40" s="7">
        <f t="shared" si="0"/>
        <v>33</v>
      </c>
      <c r="C40" s="106" t="s">
        <v>74</v>
      </c>
      <c r="D40" s="7">
        <v>8</v>
      </c>
      <c r="E40" s="22">
        <f>279/1000</f>
        <v>0.27900000000000003</v>
      </c>
      <c r="F40" s="8">
        <v>8</v>
      </c>
      <c r="G40" s="52">
        <f>204/1000</f>
        <v>0.20399999999999999</v>
      </c>
      <c r="H40" s="8">
        <f>1+25</f>
        <v>26</v>
      </c>
      <c r="I40" s="93">
        <f>(3.5+210.5)/1000</f>
        <v>0.214</v>
      </c>
      <c r="J40" s="8">
        <v>2</v>
      </c>
      <c r="K40" s="89">
        <f>17/1000</f>
        <v>1.7000000000000001E-2</v>
      </c>
    </row>
    <row r="41" spans="1:11" s="65" customFormat="1" ht="15.75" x14ac:dyDescent="0.25">
      <c r="A41" s="7" t="s">
        <v>20</v>
      </c>
      <c r="B41" s="7">
        <f t="shared" si="0"/>
        <v>34</v>
      </c>
      <c r="C41" s="106" t="s">
        <v>75</v>
      </c>
      <c r="D41" s="98">
        <v>3</v>
      </c>
      <c r="E41" s="98">
        <f>33/1000</f>
        <v>3.3000000000000002E-2</v>
      </c>
      <c r="F41" s="7">
        <v>7</v>
      </c>
      <c r="G41" s="70">
        <f>84/1000</f>
        <v>8.4000000000000005E-2</v>
      </c>
      <c r="H41" s="8">
        <v>4</v>
      </c>
      <c r="I41" s="93">
        <f>36/1000</f>
        <v>3.5999999999999997E-2</v>
      </c>
      <c r="J41" s="8">
        <v>0</v>
      </c>
      <c r="K41" s="89">
        <v>0</v>
      </c>
    </row>
    <row r="42" spans="1:11" s="74" customFormat="1" ht="15.75" x14ac:dyDescent="0.25">
      <c r="A42" s="7" t="s">
        <v>20</v>
      </c>
      <c r="B42" s="7">
        <f t="shared" si="0"/>
        <v>35</v>
      </c>
      <c r="C42" s="100" t="s">
        <v>76</v>
      </c>
      <c r="D42" s="7">
        <v>2</v>
      </c>
      <c r="E42" s="22">
        <f>71.1/1000</f>
        <v>7.1099999999999997E-2</v>
      </c>
      <c r="F42" s="7">
        <v>1</v>
      </c>
      <c r="G42" s="70">
        <f>6.3/1000</f>
        <v>6.3E-3</v>
      </c>
      <c r="H42" s="8">
        <v>2</v>
      </c>
      <c r="I42" s="93">
        <f>22/1000</f>
        <v>2.1999999999999999E-2</v>
      </c>
      <c r="J42" s="8">
        <v>0</v>
      </c>
      <c r="K42" s="89">
        <v>0</v>
      </c>
    </row>
    <row r="43" spans="1:11" s="74" customFormat="1" ht="15.75" x14ac:dyDescent="0.25">
      <c r="A43" s="7" t="s">
        <v>20</v>
      </c>
      <c r="B43" s="7">
        <f t="shared" si="0"/>
        <v>36</v>
      </c>
      <c r="C43" s="100" t="s">
        <v>120</v>
      </c>
      <c r="D43" s="7">
        <v>2</v>
      </c>
      <c r="E43" s="22">
        <f>14/1000</f>
        <v>1.4E-2</v>
      </c>
      <c r="F43" s="7">
        <v>2</v>
      </c>
      <c r="G43" s="70">
        <f>14/1000</f>
        <v>1.4E-2</v>
      </c>
      <c r="H43" s="8">
        <v>2</v>
      </c>
      <c r="I43" s="93">
        <f>24/1000</f>
        <v>2.4E-2</v>
      </c>
      <c r="J43" s="8">
        <v>0</v>
      </c>
      <c r="K43" s="89">
        <v>0</v>
      </c>
    </row>
    <row r="44" spans="1:11" s="74" customFormat="1" ht="15.75" x14ac:dyDescent="0.25">
      <c r="A44" s="7" t="s">
        <v>20</v>
      </c>
      <c r="B44" s="7">
        <f t="shared" si="0"/>
        <v>37</v>
      </c>
      <c r="C44" s="100" t="s">
        <v>121</v>
      </c>
      <c r="D44" s="7">
        <v>1</v>
      </c>
      <c r="E44" s="22">
        <f>8/1000</f>
        <v>8.0000000000000002E-3</v>
      </c>
      <c r="F44" s="7">
        <v>0</v>
      </c>
      <c r="G44" s="70">
        <v>0</v>
      </c>
      <c r="H44" s="8">
        <v>0</v>
      </c>
      <c r="I44" s="93">
        <v>0</v>
      </c>
      <c r="J44" s="8">
        <v>0</v>
      </c>
      <c r="K44" s="89">
        <v>0</v>
      </c>
    </row>
    <row r="45" spans="1:11" s="74" customFormat="1" ht="15.75" x14ac:dyDescent="0.25">
      <c r="A45" s="7" t="s">
        <v>20</v>
      </c>
      <c r="B45" s="7">
        <f t="shared" si="0"/>
        <v>38</v>
      </c>
      <c r="C45" s="100" t="s">
        <v>122</v>
      </c>
      <c r="D45" s="7">
        <f>1+1</f>
        <v>2</v>
      </c>
      <c r="E45" s="22">
        <f>(8+15)/1000</f>
        <v>2.3E-2</v>
      </c>
      <c r="F45" s="7">
        <v>1</v>
      </c>
      <c r="G45" s="70">
        <f>15/1000</f>
        <v>1.4999999999999999E-2</v>
      </c>
      <c r="H45" s="8">
        <v>0</v>
      </c>
      <c r="I45" s="93">
        <v>0</v>
      </c>
      <c r="J45" s="8">
        <v>0</v>
      </c>
      <c r="K45" s="89">
        <v>0</v>
      </c>
    </row>
    <row r="46" spans="1:11" s="74" customFormat="1" ht="15.75" x14ac:dyDescent="0.25">
      <c r="A46" s="7" t="s">
        <v>20</v>
      </c>
      <c r="B46" s="7">
        <f t="shared" si="0"/>
        <v>39</v>
      </c>
      <c r="C46" s="100" t="s">
        <v>123</v>
      </c>
      <c r="D46" s="7">
        <v>2</v>
      </c>
      <c r="E46" s="22">
        <f>16/1000</f>
        <v>1.6E-2</v>
      </c>
      <c r="F46" s="7">
        <v>1</v>
      </c>
      <c r="G46" s="70">
        <f>8/1000</f>
        <v>8.0000000000000002E-3</v>
      </c>
      <c r="H46" s="8">
        <v>0</v>
      </c>
      <c r="I46" s="93">
        <v>0</v>
      </c>
      <c r="J46" s="8">
        <v>0</v>
      </c>
      <c r="K46" s="89">
        <v>0</v>
      </c>
    </row>
    <row r="47" spans="1:11" s="74" customFormat="1" ht="15.75" x14ac:dyDescent="0.25">
      <c r="A47" s="7" t="s">
        <v>20</v>
      </c>
      <c r="B47" s="7">
        <f t="shared" si="0"/>
        <v>40</v>
      </c>
      <c r="C47" s="100" t="s">
        <v>124</v>
      </c>
      <c r="D47" s="7">
        <v>3</v>
      </c>
      <c r="E47" s="22">
        <f>166/1000</f>
        <v>0.16600000000000001</v>
      </c>
      <c r="F47" s="7">
        <v>1</v>
      </c>
      <c r="G47" s="70">
        <f>9/1000</f>
        <v>8.9999999999999993E-3</v>
      </c>
      <c r="H47" s="8">
        <f>1+4</f>
        <v>5</v>
      </c>
      <c r="I47" s="93">
        <f>(7+31.5)/1000</f>
        <v>3.85E-2</v>
      </c>
      <c r="J47" s="8">
        <v>0</v>
      </c>
      <c r="K47" s="89">
        <v>0</v>
      </c>
    </row>
    <row r="48" spans="1:11" s="74" customFormat="1" ht="15.75" x14ac:dyDescent="0.25">
      <c r="A48" s="7" t="s">
        <v>20</v>
      </c>
      <c r="B48" s="7">
        <f t="shared" si="0"/>
        <v>41</v>
      </c>
      <c r="C48" s="100" t="s">
        <v>125</v>
      </c>
      <c r="D48" s="7">
        <v>1</v>
      </c>
      <c r="E48" s="22">
        <f>6/1000</f>
        <v>6.0000000000000001E-3</v>
      </c>
      <c r="F48" s="7">
        <v>0</v>
      </c>
      <c r="G48" s="70">
        <v>0</v>
      </c>
      <c r="H48" s="8">
        <v>1</v>
      </c>
      <c r="I48" s="93">
        <f>12/1000</f>
        <v>1.2E-2</v>
      </c>
      <c r="J48" s="8">
        <v>0</v>
      </c>
      <c r="K48" s="89">
        <v>0</v>
      </c>
    </row>
    <row r="49" spans="1:12" s="74" customFormat="1" ht="15.75" x14ac:dyDescent="0.25">
      <c r="A49" s="7" t="s">
        <v>20</v>
      </c>
      <c r="B49" s="7">
        <f t="shared" si="0"/>
        <v>42</v>
      </c>
      <c r="C49" s="100" t="s">
        <v>77</v>
      </c>
      <c r="D49" s="7">
        <v>6</v>
      </c>
      <c r="E49" s="22">
        <f>59/1000</f>
        <v>5.8999999999999997E-2</v>
      </c>
      <c r="F49" s="7">
        <v>14</v>
      </c>
      <c r="G49" s="70">
        <f>132/1000</f>
        <v>0.13200000000000001</v>
      </c>
      <c r="H49" s="8">
        <f>3+9</f>
        <v>12</v>
      </c>
      <c r="I49" s="93">
        <f>(28+109.6)/1000</f>
        <v>0.1376</v>
      </c>
      <c r="J49" s="8">
        <v>0</v>
      </c>
      <c r="K49" s="89">
        <v>0</v>
      </c>
    </row>
    <row r="50" spans="1:12" s="74" customFormat="1" ht="15.75" x14ac:dyDescent="0.25">
      <c r="A50" s="7" t="s">
        <v>20</v>
      </c>
      <c r="B50" s="7">
        <f t="shared" si="0"/>
        <v>43</v>
      </c>
      <c r="C50" s="100" t="s">
        <v>78</v>
      </c>
      <c r="D50" s="7">
        <f>1+1</f>
        <v>2</v>
      </c>
      <c r="E50" s="22">
        <f>(15+12)/1000</f>
        <v>2.7E-2</v>
      </c>
      <c r="F50" s="7">
        <v>1</v>
      </c>
      <c r="G50" s="70">
        <f>12/1000</f>
        <v>1.2E-2</v>
      </c>
      <c r="H50" s="8">
        <v>0</v>
      </c>
      <c r="I50" s="93">
        <v>0</v>
      </c>
      <c r="J50" s="8">
        <v>0</v>
      </c>
      <c r="K50" s="89">
        <v>0</v>
      </c>
    </row>
    <row r="51" spans="1:12" s="74" customFormat="1" ht="15.75" x14ac:dyDescent="0.25">
      <c r="A51" s="7" t="s">
        <v>20</v>
      </c>
      <c r="B51" s="7">
        <f t="shared" si="0"/>
        <v>44</v>
      </c>
      <c r="C51" s="100" t="s">
        <v>126</v>
      </c>
      <c r="D51" s="7">
        <v>1</v>
      </c>
      <c r="E51" s="22">
        <f>15/1000</f>
        <v>1.4999999999999999E-2</v>
      </c>
      <c r="F51" s="7">
        <v>1</v>
      </c>
      <c r="G51" s="70">
        <f>15/1000</f>
        <v>1.4999999999999999E-2</v>
      </c>
      <c r="H51" s="8">
        <v>0</v>
      </c>
      <c r="I51" s="93">
        <v>0</v>
      </c>
      <c r="J51" s="8">
        <v>0</v>
      </c>
      <c r="K51" s="89">
        <v>0</v>
      </c>
    </row>
    <row r="52" spans="1:12" s="85" customFormat="1" ht="15.75" x14ac:dyDescent="0.25">
      <c r="A52" s="7" t="s">
        <v>20</v>
      </c>
      <c r="B52" s="7">
        <f t="shared" si="0"/>
        <v>45</v>
      </c>
      <c r="C52" s="100" t="s">
        <v>79</v>
      </c>
      <c r="D52" s="7">
        <v>3</v>
      </c>
      <c r="E52" s="22">
        <f>90/1000</f>
        <v>0.09</v>
      </c>
      <c r="F52" s="7">
        <f>4+1</f>
        <v>5</v>
      </c>
      <c r="G52" s="70">
        <f>(49+5)/1000</f>
        <v>5.3999999999999999E-2</v>
      </c>
      <c r="H52" s="8">
        <f>14+1</f>
        <v>15</v>
      </c>
      <c r="I52" s="93">
        <f>(151+10)/1000</f>
        <v>0.161</v>
      </c>
      <c r="J52" s="8">
        <v>0</v>
      </c>
      <c r="K52" s="89">
        <v>0</v>
      </c>
    </row>
    <row r="53" spans="1:12" s="85" customFormat="1" ht="15.75" x14ac:dyDescent="0.25">
      <c r="A53" s="7" t="s">
        <v>20</v>
      </c>
      <c r="B53" s="7">
        <f t="shared" si="0"/>
        <v>46</v>
      </c>
      <c r="C53" s="100" t="s">
        <v>26</v>
      </c>
      <c r="D53" s="7">
        <v>17</v>
      </c>
      <c r="E53" s="22">
        <f>204/1000</f>
        <v>0.20399999999999999</v>
      </c>
      <c r="F53" s="7">
        <f>1+49+1</f>
        <v>51</v>
      </c>
      <c r="G53" s="70">
        <f>(15+689+580)/1000</f>
        <v>1.284</v>
      </c>
      <c r="H53" s="8">
        <f>8+3</f>
        <v>11</v>
      </c>
      <c r="I53" s="93">
        <f>(84+111.68)/1000</f>
        <v>0.19568000000000002</v>
      </c>
      <c r="J53" s="8">
        <v>1</v>
      </c>
      <c r="K53" s="89">
        <f>60/1000</f>
        <v>0.06</v>
      </c>
    </row>
    <row r="54" spans="1:12" s="85" customFormat="1" ht="15.75" x14ac:dyDescent="0.25">
      <c r="A54" s="7" t="s">
        <v>20</v>
      </c>
      <c r="B54" s="7">
        <f t="shared" si="0"/>
        <v>47</v>
      </c>
      <c r="C54" s="100" t="s">
        <v>128</v>
      </c>
      <c r="D54" s="7">
        <v>3</v>
      </c>
      <c r="E54" s="22">
        <f>28/1000</f>
        <v>2.8000000000000001E-2</v>
      </c>
      <c r="F54" s="7">
        <v>2</v>
      </c>
      <c r="G54" s="70">
        <f>14/1000</f>
        <v>1.4E-2</v>
      </c>
      <c r="H54" s="8">
        <v>2</v>
      </c>
      <c r="I54" s="93">
        <f>15/1000</f>
        <v>1.4999999999999999E-2</v>
      </c>
      <c r="J54" s="8">
        <v>1</v>
      </c>
      <c r="K54" s="89">
        <f>14/1000</f>
        <v>1.4E-2</v>
      </c>
    </row>
    <row r="55" spans="1:12" s="85" customFormat="1" ht="31.5" x14ac:dyDescent="0.25">
      <c r="A55" s="7" t="s">
        <v>20</v>
      </c>
      <c r="B55" s="7">
        <f t="shared" si="0"/>
        <v>48</v>
      </c>
      <c r="C55" s="106" t="s">
        <v>679</v>
      </c>
      <c r="D55" s="7">
        <v>3</v>
      </c>
      <c r="E55" s="22">
        <f>40/1000</f>
        <v>0.04</v>
      </c>
      <c r="F55" s="7">
        <v>3</v>
      </c>
      <c r="G55" s="70">
        <f>38/1000</f>
        <v>3.7999999999999999E-2</v>
      </c>
      <c r="H55" s="8">
        <v>1</v>
      </c>
      <c r="I55" s="93">
        <f>12/1000</f>
        <v>1.2E-2</v>
      </c>
      <c r="J55" s="8">
        <v>0</v>
      </c>
      <c r="K55" s="89">
        <v>0</v>
      </c>
      <c r="L55" s="37"/>
    </row>
    <row r="56" spans="1:12" s="85" customFormat="1" ht="15.75" x14ac:dyDescent="0.25">
      <c r="A56" s="7" t="s">
        <v>20</v>
      </c>
      <c r="B56" s="7">
        <f t="shared" si="0"/>
        <v>49</v>
      </c>
      <c r="C56" s="100" t="s">
        <v>131</v>
      </c>
      <c r="D56" s="7">
        <v>0</v>
      </c>
      <c r="E56" s="7">
        <v>0</v>
      </c>
      <c r="F56" s="7">
        <v>1</v>
      </c>
      <c r="G56" s="70">
        <f>11/1000</f>
        <v>1.0999999999999999E-2</v>
      </c>
      <c r="H56" s="8">
        <v>0</v>
      </c>
      <c r="I56" s="93">
        <v>0</v>
      </c>
      <c r="J56" s="8">
        <v>0</v>
      </c>
      <c r="K56" s="89">
        <v>0</v>
      </c>
    </row>
    <row r="57" spans="1:12" s="85" customFormat="1" ht="15.75" x14ac:dyDescent="0.25">
      <c r="A57" s="7" t="s">
        <v>20</v>
      </c>
      <c r="B57" s="7">
        <f t="shared" si="0"/>
        <v>50</v>
      </c>
      <c r="C57" s="100" t="s">
        <v>132</v>
      </c>
      <c r="D57" s="7">
        <v>0</v>
      </c>
      <c r="E57" s="7">
        <v>0</v>
      </c>
      <c r="F57" s="7">
        <v>1</v>
      </c>
      <c r="G57" s="70">
        <f>15/1000</f>
        <v>1.4999999999999999E-2</v>
      </c>
      <c r="H57" s="8">
        <v>1</v>
      </c>
      <c r="I57" s="93">
        <f>90/1000</f>
        <v>0.09</v>
      </c>
      <c r="J57" s="8">
        <v>1</v>
      </c>
      <c r="K57" s="89">
        <f>130/1000</f>
        <v>0.13</v>
      </c>
    </row>
    <row r="58" spans="1:12" s="85" customFormat="1" ht="15.75" x14ac:dyDescent="0.25">
      <c r="A58" s="7" t="s">
        <v>20</v>
      </c>
      <c r="B58" s="7">
        <f t="shared" si="0"/>
        <v>51</v>
      </c>
      <c r="C58" s="100" t="s">
        <v>133</v>
      </c>
      <c r="D58" s="7">
        <v>0</v>
      </c>
      <c r="E58" s="7">
        <v>0</v>
      </c>
      <c r="F58" s="7">
        <v>1</v>
      </c>
      <c r="G58" s="70">
        <f>15/1000</f>
        <v>1.4999999999999999E-2</v>
      </c>
      <c r="H58" s="8">
        <v>2</v>
      </c>
      <c r="I58" s="93">
        <f>63/1000</f>
        <v>6.3E-2</v>
      </c>
      <c r="J58" s="8">
        <v>0</v>
      </c>
      <c r="K58" s="89">
        <v>0</v>
      </c>
    </row>
    <row r="59" spans="1:12" s="85" customFormat="1" ht="15.75" x14ac:dyDescent="0.25">
      <c r="A59" s="7" t="s">
        <v>20</v>
      </c>
      <c r="B59" s="7">
        <f t="shared" si="0"/>
        <v>52</v>
      </c>
      <c r="C59" s="100" t="s">
        <v>134</v>
      </c>
      <c r="D59" s="7">
        <v>0</v>
      </c>
      <c r="E59" s="7">
        <v>0</v>
      </c>
      <c r="F59" s="7">
        <v>1</v>
      </c>
      <c r="G59" s="70">
        <f>10/1000</f>
        <v>0.01</v>
      </c>
      <c r="H59" s="8">
        <v>0</v>
      </c>
      <c r="I59" s="93">
        <v>0</v>
      </c>
      <c r="J59" s="8">
        <v>0</v>
      </c>
      <c r="K59" s="89">
        <v>0</v>
      </c>
    </row>
    <row r="60" spans="1:12" s="85" customFormat="1" ht="15.75" x14ac:dyDescent="0.25">
      <c r="A60" s="7" t="s">
        <v>20</v>
      </c>
      <c r="B60" s="7">
        <f t="shared" si="0"/>
        <v>53</v>
      </c>
      <c r="C60" s="100" t="s">
        <v>135</v>
      </c>
      <c r="D60" s="7">
        <v>0</v>
      </c>
      <c r="E60" s="7">
        <v>0</v>
      </c>
      <c r="F60" s="7">
        <v>2</v>
      </c>
      <c r="G60" s="70">
        <f>30/1000</f>
        <v>0.03</v>
      </c>
      <c r="H60" s="8">
        <v>0</v>
      </c>
      <c r="I60" s="93">
        <v>0</v>
      </c>
      <c r="J60" s="8">
        <v>0</v>
      </c>
      <c r="K60" s="89">
        <v>0</v>
      </c>
    </row>
    <row r="61" spans="1:12" s="85" customFormat="1" ht="15.75" x14ac:dyDescent="0.25">
      <c r="A61" s="7" t="s">
        <v>20</v>
      </c>
      <c r="B61" s="7">
        <f t="shared" si="0"/>
        <v>54</v>
      </c>
      <c r="C61" s="100" t="s">
        <v>136</v>
      </c>
      <c r="D61" s="7">
        <v>0</v>
      </c>
      <c r="E61" s="7">
        <v>0</v>
      </c>
      <c r="F61" s="7">
        <v>1</v>
      </c>
      <c r="G61" s="70">
        <f>0.5/1000</f>
        <v>5.0000000000000001E-4</v>
      </c>
      <c r="H61" s="8">
        <v>0</v>
      </c>
      <c r="I61" s="93">
        <v>0</v>
      </c>
      <c r="J61" s="8">
        <v>0</v>
      </c>
      <c r="K61" s="89">
        <v>0</v>
      </c>
    </row>
    <row r="62" spans="1:12" s="73" customFormat="1" ht="15.75" x14ac:dyDescent="0.25">
      <c r="A62" s="7" t="s">
        <v>20</v>
      </c>
      <c r="B62" s="7">
        <f t="shared" si="0"/>
        <v>55</v>
      </c>
      <c r="C62" s="100" t="s">
        <v>137</v>
      </c>
      <c r="D62" s="7">
        <v>0</v>
      </c>
      <c r="E62" s="7">
        <v>0</v>
      </c>
      <c r="F62" s="7">
        <v>1</v>
      </c>
      <c r="G62" s="70">
        <f>8/1000</f>
        <v>8.0000000000000002E-3</v>
      </c>
      <c r="H62" s="8">
        <v>0</v>
      </c>
      <c r="I62" s="93">
        <v>0</v>
      </c>
      <c r="J62" s="8">
        <v>0</v>
      </c>
      <c r="K62" s="89">
        <v>0</v>
      </c>
    </row>
    <row r="63" spans="1:12" s="73" customFormat="1" ht="15.75" x14ac:dyDescent="0.25">
      <c r="A63" s="7" t="s">
        <v>20</v>
      </c>
      <c r="B63" s="7">
        <f t="shared" si="0"/>
        <v>56</v>
      </c>
      <c r="C63" s="100" t="s">
        <v>138</v>
      </c>
      <c r="D63" s="7">
        <v>0</v>
      </c>
      <c r="E63" s="7">
        <v>0</v>
      </c>
      <c r="F63" s="7">
        <v>2</v>
      </c>
      <c r="G63" s="70">
        <f>23/1000</f>
        <v>2.3E-2</v>
      </c>
      <c r="H63" s="8">
        <v>6</v>
      </c>
      <c r="I63" s="93">
        <f>43.3/1000</f>
        <v>4.3299999999999998E-2</v>
      </c>
      <c r="J63" s="8">
        <v>0</v>
      </c>
      <c r="K63" s="89">
        <v>0</v>
      </c>
    </row>
    <row r="64" spans="1:12" s="73" customFormat="1" ht="15.75" x14ac:dyDescent="0.25">
      <c r="A64" s="7" t="s">
        <v>20</v>
      </c>
      <c r="B64" s="7">
        <f t="shared" si="0"/>
        <v>57</v>
      </c>
      <c r="C64" s="100" t="s">
        <v>139</v>
      </c>
      <c r="D64" s="7">
        <v>0</v>
      </c>
      <c r="E64" s="7">
        <v>0</v>
      </c>
      <c r="F64" s="7">
        <v>1</v>
      </c>
      <c r="G64" s="70">
        <f>10/1000</f>
        <v>0.01</v>
      </c>
      <c r="H64" s="8">
        <v>1</v>
      </c>
      <c r="I64" s="93">
        <f>8/1000</f>
        <v>8.0000000000000002E-3</v>
      </c>
      <c r="J64" s="8">
        <v>0</v>
      </c>
      <c r="K64" s="89">
        <v>0</v>
      </c>
    </row>
    <row r="65" spans="1:11" s="73" customFormat="1" ht="15.75" x14ac:dyDescent="0.25">
      <c r="A65" s="7" t="s">
        <v>20</v>
      </c>
      <c r="B65" s="7">
        <f t="shared" si="0"/>
        <v>58</v>
      </c>
      <c r="C65" s="100" t="s">
        <v>140</v>
      </c>
      <c r="D65" s="7">
        <v>0</v>
      </c>
      <c r="E65" s="7">
        <v>0</v>
      </c>
      <c r="F65" s="7">
        <v>1</v>
      </c>
      <c r="G65" s="70">
        <f>5/1000</f>
        <v>5.0000000000000001E-3</v>
      </c>
      <c r="H65" s="8">
        <v>0</v>
      </c>
      <c r="I65" s="93">
        <v>0</v>
      </c>
      <c r="J65" s="8">
        <v>0</v>
      </c>
      <c r="K65" s="89">
        <v>0</v>
      </c>
    </row>
    <row r="66" spans="1:11" s="73" customFormat="1" ht="15.75" x14ac:dyDescent="0.25">
      <c r="A66" s="7" t="s">
        <v>20</v>
      </c>
      <c r="B66" s="7">
        <f t="shared" si="0"/>
        <v>59</v>
      </c>
      <c r="C66" s="100" t="s">
        <v>141</v>
      </c>
      <c r="D66" s="7">
        <v>0</v>
      </c>
      <c r="E66" s="7">
        <v>0</v>
      </c>
      <c r="F66" s="7">
        <v>2</v>
      </c>
      <c r="G66" s="70">
        <f>30/1000</f>
        <v>0.03</v>
      </c>
      <c r="H66" s="8">
        <v>1</v>
      </c>
      <c r="I66" s="93">
        <f>6/1000</f>
        <v>6.0000000000000001E-3</v>
      </c>
      <c r="J66" s="8">
        <v>0</v>
      </c>
      <c r="K66" s="89">
        <v>0</v>
      </c>
    </row>
    <row r="67" spans="1:11" s="73" customFormat="1" ht="15.75" x14ac:dyDescent="0.25">
      <c r="A67" s="7" t="s">
        <v>20</v>
      </c>
      <c r="B67" s="7">
        <f t="shared" si="0"/>
        <v>60</v>
      </c>
      <c r="C67" s="100" t="s">
        <v>142</v>
      </c>
      <c r="D67" s="7">
        <v>0</v>
      </c>
      <c r="E67" s="7">
        <v>0</v>
      </c>
      <c r="F67" s="7">
        <v>2</v>
      </c>
      <c r="G67" s="70">
        <f>30/1000</f>
        <v>0.03</v>
      </c>
      <c r="H67" s="8">
        <v>5</v>
      </c>
      <c r="I67" s="93">
        <f>70/1000</f>
        <v>7.0000000000000007E-2</v>
      </c>
      <c r="J67" s="8">
        <v>0</v>
      </c>
      <c r="K67" s="89">
        <v>0</v>
      </c>
    </row>
    <row r="68" spans="1:11" s="73" customFormat="1" ht="15.75" x14ac:dyDescent="0.25">
      <c r="A68" s="7" t="s">
        <v>20</v>
      </c>
      <c r="B68" s="7">
        <f t="shared" si="0"/>
        <v>61</v>
      </c>
      <c r="C68" s="100" t="s">
        <v>143</v>
      </c>
      <c r="D68" s="7">
        <v>0</v>
      </c>
      <c r="E68" s="7">
        <v>0</v>
      </c>
      <c r="F68" s="7">
        <v>1</v>
      </c>
      <c r="G68" s="70">
        <f>7/1000</f>
        <v>7.0000000000000001E-3</v>
      </c>
      <c r="H68" s="8">
        <v>0</v>
      </c>
      <c r="I68" s="93">
        <v>0</v>
      </c>
      <c r="J68" s="8">
        <v>0</v>
      </c>
      <c r="K68" s="89">
        <v>0</v>
      </c>
    </row>
    <row r="69" spans="1:11" s="67" customFormat="1" ht="15.75" x14ac:dyDescent="0.25">
      <c r="A69" s="7" t="s">
        <v>20</v>
      </c>
      <c r="B69" s="7">
        <f t="shared" si="0"/>
        <v>62</v>
      </c>
      <c r="C69" s="100" t="s">
        <v>144</v>
      </c>
      <c r="D69" s="7">
        <v>0</v>
      </c>
      <c r="E69" s="7">
        <v>0</v>
      </c>
      <c r="F69" s="7">
        <v>1</v>
      </c>
      <c r="G69" s="70">
        <f>11/1000</f>
        <v>1.0999999999999999E-2</v>
      </c>
      <c r="H69" s="8">
        <v>0</v>
      </c>
      <c r="I69" s="93">
        <v>0</v>
      </c>
      <c r="J69" s="8">
        <v>0</v>
      </c>
      <c r="K69" s="89">
        <v>0</v>
      </c>
    </row>
    <row r="70" spans="1:11" s="67" customFormat="1" ht="15.75" x14ac:dyDescent="0.25">
      <c r="A70" s="7" t="s">
        <v>20</v>
      </c>
      <c r="B70" s="7">
        <f t="shared" si="0"/>
        <v>63</v>
      </c>
      <c r="C70" s="100" t="s">
        <v>145</v>
      </c>
      <c r="D70" s="7">
        <v>0</v>
      </c>
      <c r="E70" s="7">
        <v>0</v>
      </c>
      <c r="F70" s="7">
        <v>1</v>
      </c>
      <c r="G70" s="70">
        <f>15/1000</f>
        <v>1.4999999999999999E-2</v>
      </c>
      <c r="H70" s="8">
        <v>0</v>
      </c>
      <c r="I70" s="93">
        <v>0</v>
      </c>
      <c r="J70" s="8">
        <v>1</v>
      </c>
      <c r="K70" s="89">
        <f>250/1000</f>
        <v>0.25</v>
      </c>
    </row>
    <row r="71" spans="1:11" s="65" customFormat="1" ht="15.75" x14ac:dyDescent="0.25">
      <c r="A71" s="7" t="s">
        <v>20</v>
      </c>
      <c r="B71" s="7">
        <f t="shared" si="0"/>
        <v>64</v>
      </c>
      <c r="C71" s="100" t="s">
        <v>146</v>
      </c>
      <c r="D71" s="7">
        <v>0</v>
      </c>
      <c r="E71" s="7">
        <v>0</v>
      </c>
      <c r="F71" s="7">
        <v>1</v>
      </c>
      <c r="G71" s="70">
        <f>8/1000</f>
        <v>8.0000000000000002E-3</v>
      </c>
      <c r="H71" s="8">
        <f>2+1</f>
        <v>3</v>
      </c>
      <c r="I71" s="93">
        <f>(16+8)/1000</f>
        <v>2.4E-2</v>
      </c>
      <c r="J71" s="101">
        <v>0</v>
      </c>
      <c r="K71" s="52">
        <v>0</v>
      </c>
    </row>
    <row r="72" spans="1:11" s="66" customFormat="1" ht="15.75" x14ac:dyDescent="0.25">
      <c r="A72" s="7" t="s">
        <v>20</v>
      </c>
      <c r="B72" s="7">
        <f t="shared" si="0"/>
        <v>65</v>
      </c>
      <c r="C72" s="100" t="s">
        <v>147</v>
      </c>
      <c r="D72" s="7">
        <v>0</v>
      </c>
      <c r="E72" s="7">
        <v>0</v>
      </c>
      <c r="F72" s="7">
        <v>1</v>
      </c>
      <c r="G72" s="52">
        <f>6/1000</f>
        <v>6.0000000000000001E-3</v>
      </c>
      <c r="H72" s="8">
        <v>1</v>
      </c>
      <c r="I72" s="93">
        <f>7/1000</f>
        <v>7.0000000000000001E-3</v>
      </c>
      <c r="J72" s="101">
        <v>0</v>
      </c>
      <c r="K72" s="52">
        <v>0</v>
      </c>
    </row>
    <row r="73" spans="1:11" s="99" customFormat="1" ht="15.75" x14ac:dyDescent="0.25">
      <c r="A73" s="7" t="s">
        <v>20</v>
      </c>
      <c r="B73" s="7">
        <f t="shared" si="0"/>
        <v>66</v>
      </c>
      <c r="C73" s="100" t="s">
        <v>148</v>
      </c>
      <c r="D73" s="7">
        <v>0</v>
      </c>
      <c r="E73" s="7">
        <v>0</v>
      </c>
      <c r="F73" s="7">
        <v>1</v>
      </c>
      <c r="G73" s="52">
        <f>8/1000</f>
        <v>8.0000000000000002E-3</v>
      </c>
      <c r="H73" s="8">
        <v>0</v>
      </c>
      <c r="I73" s="93">
        <v>0</v>
      </c>
      <c r="J73" s="101">
        <v>0</v>
      </c>
      <c r="K73" s="52">
        <v>0</v>
      </c>
    </row>
    <row r="74" spans="1:11" s="73" customFormat="1" ht="15.75" x14ac:dyDescent="0.25">
      <c r="A74" s="7" t="s">
        <v>20</v>
      </c>
      <c r="B74" s="7">
        <f t="shared" ref="B74:B91" si="1">B73+1</f>
        <v>67</v>
      </c>
      <c r="C74" s="100" t="s">
        <v>149</v>
      </c>
      <c r="D74" s="7">
        <v>0</v>
      </c>
      <c r="E74" s="7">
        <v>0</v>
      </c>
      <c r="F74" s="8">
        <v>2</v>
      </c>
      <c r="G74" s="52">
        <f>30/1000</f>
        <v>0.03</v>
      </c>
      <c r="H74" s="8">
        <v>0</v>
      </c>
      <c r="I74" s="93">
        <v>0</v>
      </c>
      <c r="J74" s="101">
        <v>0</v>
      </c>
      <c r="K74" s="52">
        <v>0</v>
      </c>
    </row>
    <row r="75" spans="1:11" s="99" customFormat="1" ht="15.75" x14ac:dyDescent="0.25">
      <c r="A75" s="7" t="s">
        <v>20</v>
      </c>
      <c r="B75" s="7">
        <f t="shared" si="1"/>
        <v>68</v>
      </c>
      <c r="C75" s="100" t="s">
        <v>150</v>
      </c>
      <c r="D75" s="7">
        <v>0</v>
      </c>
      <c r="E75" s="7">
        <v>0</v>
      </c>
      <c r="F75" s="98">
        <v>4</v>
      </c>
      <c r="G75" s="98">
        <f>234/1000</f>
        <v>0.23400000000000001</v>
      </c>
      <c r="H75" s="8">
        <v>0</v>
      </c>
      <c r="I75" s="93">
        <v>0</v>
      </c>
      <c r="J75" s="101">
        <v>0</v>
      </c>
      <c r="K75" s="52">
        <v>0</v>
      </c>
    </row>
    <row r="76" spans="1:11" s="99" customFormat="1" ht="15.75" x14ac:dyDescent="0.25">
      <c r="A76" s="7" t="s">
        <v>20</v>
      </c>
      <c r="B76" s="7">
        <f t="shared" si="1"/>
        <v>69</v>
      </c>
      <c r="C76" s="100" t="s">
        <v>151</v>
      </c>
      <c r="D76" s="7">
        <v>0</v>
      </c>
      <c r="E76" s="7">
        <v>0</v>
      </c>
      <c r="F76" s="98">
        <v>1</v>
      </c>
      <c r="G76" s="98">
        <f>12/1000</f>
        <v>1.2E-2</v>
      </c>
      <c r="H76" s="8">
        <v>1</v>
      </c>
      <c r="I76" s="93">
        <f>7/1000</f>
        <v>7.0000000000000001E-3</v>
      </c>
      <c r="J76" s="101">
        <v>0</v>
      </c>
      <c r="K76" s="52">
        <v>0</v>
      </c>
    </row>
    <row r="77" spans="1:11" s="105" customFormat="1" ht="15.75" x14ac:dyDescent="0.25">
      <c r="A77" s="7" t="s">
        <v>20</v>
      </c>
      <c r="B77" s="7">
        <f t="shared" si="1"/>
        <v>70</v>
      </c>
      <c r="C77" s="100" t="s">
        <v>158</v>
      </c>
      <c r="D77" s="7">
        <v>0</v>
      </c>
      <c r="E77" s="7">
        <v>0</v>
      </c>
      <c r="F77" s="7">
        <v>0</v>
      </c>
      <c r="G77" s="7">
        <f>0</f>
        <v>0</v>
      </c>
      <c r="H77" s="8">
        <v>1</v>
      </c>
      <c r="I77" s="93">
        <f>15/1000</f>
        <v>1.4999999999999999E-2</v>
      </c>
      <c r="J77" s="101">
        <v>0</v>
      </c>
      <c r="K77" s="52">
        <v>0</v>
      </c>
    </row>
    <row r="78" spans="1:11" s="105" customFormat="1" ht="15.75" x14ac:dyDescent="0.25">
      <c r="A78" s="7" t="s">
        <v>20</v>
      </c>
      <c r="B78" s="7">
        <f t="shared" si="1"/>
        <v>71</v>
      </c>
      <c r="C78" s="100" t="s">
        <v>159</v>
      </c>
      <c r="D78" s="7">
        <v>0</v>
      </c>
      <c r="E78" s="7">
        <v>0</v>
      </c>
      <c r="F78" s="7">
        <v>0</v>
      </c>
      <c r="G78" s="7">
        <f>0</f>
        <v>0</v>
      </c>
      <c r="H78" s="8">
        <v>1</v>
      </c>
      <c r="I78" s="93">
        <f>5/1000</f>
        <v>5.0000000000000001E-3</v>
      </c>
      <c r="J78" s="101">
        <v>0</v>
      </c>
      <c r="K78" s="52">
        <v>0</v>
      </c>
    </row>
    <row r="79" spans="1:11" s="105" customFormat="1" ht="15.75" x14ac:dyDescent="0.25">
      <c r="A79" s="7" t="s">
        <v>20</v>
      </c>
      <c r="B79" s="7">
        <f t="shared" si="1"/>
        <v>72</v>
      </c>
      <c r="C79" s="100" t="s">
        <v>160</v>
      </c>
      <c r="D79" s="7">
        <v>0</v>
      </c>
      <c r="E79" s="7">
        <v>0</v>
      </c>
      <c r="F79" s="7">
        <v>0</v>
      </c>
      <c r="G79" s="7">
        <v>0</v>
      </c>
      <c r="H79" s="8">
        <v>1</v>
      </c>
      <c r="I79" s="93">
        <f>12/1000</f>
        <v>1.2E-2</v>
      </c>
      <c r="J79" s="101">
        <v>0</v>
      </c>
      <c r="K79" s="52">
        <v>0</v>
      </c>
    </row>
    <row r="80" spans="1:11" s="105" customFormat="1" ht="15.75" x14ac:dyDescent="0.25">
      <c r="A80" s="7" t="s">
        <v>20</v>
      </c>
      <c r="B80" s="7">
        <f t="shared" si="1"/>
        <v>73</v>
      </c>
      <c r="C80" s="100" t="s">
        <v>161</v>
      </c>
      <c r="D80" s="7">
        <v>0</v>
      </c>
      <c r="E80" s="7">
        <v>0</v>
      </c>
      <c r="F80" s="7">
        <v>0</v>
      </c>
      <c r="G80" s="7">
        <v>0</v>
      </c>
      <c r="H80" s="8">
        <v>1</v>
      </c>
      <c r="I80" s="93">
        <f>15/1000</f>
        <v>1.4999999999999999E-2</v>
      </c>
      <c r="J80" s="101">
        <v>0</v>
      </c>
      <c r="K80" s="52">
        <v>0</v>
      </c>
    </row>
    <row r="81" spans="1:12" s="105" customFormat="1" ht="15.75" x14ac:dyDescent="0.25">
      <c r="A81" s="7" t="s">
        <v>20</v>
      </c>
      <c r="B81" s="7">
        <f t="shared" si="1"/>
        <v>74</v>
      </c>
      <c r="C81" s="100" t="s">
        <v>162</v>
      </c>
      <c r="D81" s="7">
        <v>0</v>
      </c>
      <c r="E81" s="7">
        <v>0</v>
      </c>
      <c r="F81" s="7">
        <v>0</v>
      </c>
      <c r="G81" s="7">
        <v>0</v>
      </c>
      <c r="H81" s="8">
        <v>2</v>
      </c>
      <c r="I81" s="93">
        <f>8/1000</f>
        <v>8.0000000000000002E-3</v>
      </c>
      <c r="J81" s="101">
        <v>0</v>
      </c>
      <c r="K81" s="52">
        <v>0</v>
      </c>
    </row>
    <row r="82" spans="1:12" s="105" customFormat="1" ht="15.75" x14ac:dyDescent="0.25">
      <c r="A82" s="7" t="s">
        <v>20</v>
      </c>
      <c r="B82" s="7">
        <f t="shared" si="1"/>
        <v>75</v>
      </c>
      <c r="C82" s="100" t="s">
        <v>163</v>
      </c>
      <c r="D82" s="7">
        <v>0</v>
      </c>
      <c r="E82" s="7">
        <v>0</v>
      </c>
      <c r="F82" s="7">
        <v>0</v>
      </c>
      <c r="G82" s="7">
        <v>0</v>
      </c>
      <c r="H82" s="8">
        <v>3</v>
      </c>
      <c r="I82" s="93">
        <f>20/1000</f>
        <v>0.02</v>
      </c>
      <c r="J82" s="101">
        <v>0</v>
      </c>
      <c r="K82" s="52">
        <v>0</v>
      </c>
    </row>
    <row r="83" spans="1:12" s="105" customFormat="1" ht="15.75" x14ac:dyDescent="0.25">
      <c r="A83" s="7" t="s">
        <v>20</v>
      </c>
      <c r="B83" s="7">
        <f t="shared" si="1"/>
        <v>76</v>
      </c>
      <c r="C83" s="100" t="s">
        <v>164</v>
      </c>
      <c r="D83" s="7">
        <v>0</v>
      </c>
      <c r="E83" s="7">
        <v>0</v>
      </c>
      <c r="F83" s="7">
        <v>0</v>
      </c>
      <c r="G83" s="7">
        <v>0</v>
      </c>
      <c r="H83" s="8">
        <v>1</v>
      </c>
      <c r="I83" s="93">
        <f>7/1000</f>
        <v>7.0000000000000001E-3</v>
      </c>
      <c r="J83" s="101">
        <v>0</v>
      </c>
      <c r="K83" s="52">
        <v>0</v>
      </c>
    </row>
    <row r="84" spans="1:12" s="105" customFormat="1" ht="15.75" x14ac:dyDescent="0.25">
      <c r="A84" s="7" t="s">
        <v>20</v>
      </c>
      <c r="B84" s="7">
        <f t="shared" si="1"/>
        <v>77</v>
      </c>
      <c r="C84" s="100" t="s">
        <v>165</v>
      </c>
      <c r="D84" s="7">
        <v>0</v>
      </c>
      <c r="E84" s="7">
        <v>0</v>
      </c>
      <c r="F84" s="7">
        <v>0</v>
      </c>
      <c r="G84" s="7">
        <v>0</v>
      </c>
      <c r="H84" s="8">
        <v>2</v>
      </c>
      <c r="I84" s="93">
        <f>23/1000</f>
        <v>2.3E-2</v>
      </c>
      <c r="J84" s="101">
        <v>0</v>
      </c>
      <c r="K84" s="52">
        <v>0</v>
      </c>
    </row>
    <row r="85" spans="1:12" s="105" customFormat="1" ht="15.75" x14ac:dyDescent="0.25">
      <c r="A85" s="7" t="s">
        <v>20</v>
      </c>
      <c r="B85" s="7">
        <f t="shared" si="1"/>
        <v>78</v>
      </c>
      <c r="C85" s="100" t="s">
        <v>166</v>
      </c>
      <c r="D85" s="7">
        <v>0</v>
      </c>
      <c r="E85" s="7">
        <v>0</v>
      </c>
      <c r="F85" s="7">
        <v>0</v>
      </c>
      <c r="G85" s="7">
        <v>0</v>
      </c>
      <c r="H85" s="8">
        <v>1</v>
      </c>
      <c r="I85" s="93">
        <f>7/1000</f>
        <v>7.0000000000000001E-3</v>
      </c>
      <c r="J85" s="101">
        <v>0</v>
      </c>
      <c r="K85" s="52">
        <v>0</v>
      </c>
    </row>
    <row r="86" spans="1:12" s="105" customFormat="1" ht="15.75" x14ac:dyDescent="0.25">
      <c r="A86" s="7" t="s">
        <v>20</v>
      </c>
      <c r="B86" s="7">
        <f t="shared" si="1"/>
        <v>79</v>
      </c>
      <c r="C86" s="100" t="s">
        <v>167</v>
      </c>
      <c r="D86" s="7">
        <v>0</v>
      </c>
      <c r="E86" s="7">
        <v>0</v>
      </c>
      <c r="F86" s="7">
        <v>0</v>
      </c>
      <c r="G86" s="7">
        <v>0</v>
      </c>
      <c r="H86" s="8">
        <v>1</v>
      </c>
      <c r="I86" s="93">
        <f>6/1000</f>
        <v>6.0000000000000001E-3</v>
      </c>
      <c r="J86" s="101">
        <v>0</v>
      </c>
      <c r="K86" s="52">
        <v>0</v>
      </c>
    </row>
    <row r="87" spans="1:12" s="105" customFormat="1" ht="15.75" x14ac:dyDescent="0.25">
      <c r="A87" s="7" t="s">
        <v>20</v>
      </c>
      <c r="B87" s="7">
        <f t="shared" si="1"/>
        <v>80</v>
      </c>
      <c r="C87" s="100" t="s">
        <v>168</v>
      </c>
      <c r="D87" s="7">
        <v>0</v>
      </c>
      <c r="E87" s="7">
        <v>0</v>
      </c>
      <c r="F87" s="7">
        <v>0</v>
      </c>
      <c r="G87" s="7">
        <v>0</v>
      </c>
      <c r="H87" s="8">
        <v>3</v>
      </c>
      <c r="I87" s="93">
        <f>25/1000</f>
        <v>2.5000000000000001E-2</v>
      </c>
      <c r="J87" s="101">
        <v>0</v>
      </c>
      <c r="K87" s="52">
        <v>0</v>
      </c>
    </row>
    <row r="88" spans="1:12" s="105" customFormat="1" ht="15.75" x14ac:dyDescent="0.25">
      <c r="A88" s="7" t="s">
        <v>20</v>
      </c>
      <c r="B88" s="7">
        <f t="shared" si="1"/>
        <v>81</v>
      </c>
      <c r="C88" s="100" t="s">
        <v>169</v>
      </c>
      <c r="D88" s="7">
        <v>0</v>
      </c>
      <c r="E88" s="7">
        <v>0</v>
      </c>
      <c r="F88" s="7">
        <v>0</v>
      </c>
      <c r="G88" s="7">
        <v>0</v>
      </c>
      <c r="H88" s="8">
        <v>1</v>
      </c>
      <c r="I88" s="93">
        <f>5.5/1000</f>
        <v>5.4999999999999997E-3</v>
      </c>
      <c r="J88" s="101">
        <v>0</v>
      </c>
      <c r="K88" s="52">
        <v>0</v>
      </c>
    </row>
    <row r="89" spans="1:12" s="105" customFormat="1" ht="15.75" x14ac:dyDescent="0.25">
      <c r="A89" s="7" t="s">
        <v>20</v>
      </c>
      <c r="B89" s="7">
        <f t="shared" si="1"/>
        <v>82</v>
      </c>
      <c r="C89" s="100" t="s">
        <v>170</v>
      </c>
      <c r="D89" s="7">
        <v>0</v>
      </c>
      <c r="E89" s="7">
        <v>0</v>
      </c>
      <c r="F89" s="7">
        <v>0</v>
      </c>
      <c r="G89" s="7">
        <v>0</v>
      </c>
      <c r="H89" s="8">
        <v>1</v>
      </c>
      <c r="I89" s="93">
        <f>4.2/1000</f>
        <v>4.2000000000000006E-3</v>
      </c>
      <c r="J89" s="101">
        <v>0</v>
      </c>
      <c r="K89" s="52">
        <v>0</v>
      </c>
    </row>
    <row r="90" spans="1:12" s="105" customFormat="1" ht="15.75" x14ac:dyDescent="0.25">
      <c r="A90" s="7" t="s">
        <v>20</v>
      </c>
      <c r="B90" s="7">
        <f t="shared" si="1"/>
        <v>83</v>
      </c>
      <c r="C90" s="100" t="s">
        <v>171</v>
      </c>
      <c r="D90" s="7">
        <v>0</v>
      </c>
      <c r="E90" s="7">
        <v>0</v>
      </c>
      <c r="F90" s="7">
        <v>0</v>
      </c>
      <c r="G90" s="7">
        <v>0</v>
      </c>
      <c r="H90" s="8">
        <v>3</v>
      </c>
      <c r="I90" s="93">
        <f>38/1000</f>
        <v>3.7999999999999999E-2</v>
      </c>
      <c r="J90" s="101">
        <v>0</v>
      </c>
      <c r="K90" s="52">
        <v>0</v>
      </c>
    </row>
    <row r="91" spans="1:12" s="105" customFormat="1" ht="15.75" x14ac:dyDescent="0.25">
      <c r="A91" s="7" t="s">
        <v>20</v>
      </c>
      <c r="B91" s="7">
        <f t="shared" si="1"/>
        <v>84</v>
      </c>
      <c r="C91" s="100" t="s">
        <v>173</v>
      </c>
      <c r="D91" s="7">
        <v>0</v>
      </c>
      <c r="E91" s="7">
        <v>0</v>
      </c>
      <c r="F91" s="7">
        <v>0</v>
      </c>
      <c r="G91" s="7">
        <v>0</v>
      </c>
      <c r="H91" s="8">
        <v>0</v>
      </c>
      <c r="I91" s="93">
        <v>0</v>
      </c>
      <c r="J91" s="101">
        <v>1</v>
      </c>
      <c r="K91" s="52">
        <f>15/1000</f>
        <v>1.4999999999999999E-2</v>
      </c>
    </row>
    <row r="92" spans="1:12" x14ac:dyDescent="0.25">
      <c r="A92" s="15"/>
      <c r="B92" s="15"/>
      <c r="C92" s="16" t="s">
        <v>17</v>
      </c>
      <c r="D92" s="21">
        <f>SUM(D93:D160)</f>
        <v>234</v>
      </c>
      <c r="E92" s="42">
        <f>SUM(E93:E160)</f>
        <v>12.985300000000001</v>
      </c>
      <c r="F92" s="21">
        <f>SUM(F93:F160)</f>
        <v>224</v>
      </c>
      <c r="G92" s="69">
        <f>SUM(G93:G160)</f>
        <v>6.0923999999999969</v>
      </c>
      <c r="H92" s="97">
        <f>SUM(H93:H160)</f>
        <v>252</v>
      </c>
      <c r="I92" s="77">
        <f>SUM(I93:I160)</f>
        <v>11.525360000000001</v>
      </c>
      <c r="J92" s="97">
        <f>SUM(J93:J160)</f>
        <v>29</v>
      </c>
      <c r="K92" s="51">
        <f>SUM(K93:K160)</f>
        <v>9.0943899999999989</v>
      </c>
    </row>
    <row r="93" spans="1:12" ht="15.75" x14ac:dyDescent="0.25">
      <c r="A93" s="7" t="s">
        <v>20</v>
      </c>
      <c r="B93" s="7">
        <v>1</v>
      </c>
      <c r="C93" s="103" t="s">
        <v>681</v>
      </c>
      <c r="D93" s="7">
        <f>1+4</f>
        <v>5</v>
      </c>
      <c r="E93" s="19">
        <f>(150+136)/1000</f>
        <v>0.28599999999999998</v>
      </c>
      <c r="F93" s="9">
        <f>2+1</f>
        <v>3</v>
      </c>
      <c r="G93" s="19">
        <f>(65+74)/1000</f>
        <v>0.13900000000000001</v>
      </c>
      <c r="H93" s="87">
        <v>1</v>
      </c>
      <c r="I93" s="88">
        <f>10/1000</f>
        <v>0.01</v>
      </c>
      <c r="J93" s="8">
        <v>0</v>
      </c>
      <c r="K93" s="89">
        <v>0</v>
      </c>
    </row>
    <row r="94" spans="1:12" ht="15.75" x14ac:dyDescent="0.25">
      <c r="A94" s="7" t="s">
        <v>20</v>
      </c>
      <c r="B94" s="7">
        <f>B93+1</f>
        <v>2</v>
      </c>
      <c r="C94" s="100" t="s">
        <v>28</v>
      </c>
      <c r="D94" s="7">
        <f>1+12+3</f>
        <v>16</v>
      </c>
      <c r="E94" s="22">
        <f>(9+142+24)/1000</f>
        <v>0.17499999999999999</v>
      </c>
      <c r="F94" s="7">
        <f>6+1+1</f>
        <v>8</v>
      </c>
      <c r="G94" s="19">
        <f>(70+8+12)/1000</f>
        <v>0.09</v>
      </c>
      <c r="H94" s="7">
        <f>2+2</f>
        <v>4</v>
      </c>
      <c r="I94" s="90">
        <f>(30+(7+35))/1000</f>
        <v>7.1999999999999995E-2</v>
      </c>
      <c r="J94" s="7">
        <f>1+2</f>
        <v>3</v>
      </c>
      <c r="K94" s="53">
        <f>(8+48)/1000</f>
        <v>5.6000000000000001E-2</v>
      </c>
      <c r="L94" s="105"/>
    </row>
    <row r="95" spans="1:12" ht="15.75" x14ac:dyDescent="0.25">
      <c r="A95" s="7" t="s">
        <v>20</v>
      </c>
      <c r="B95" s="7">
        <f t="shared" ref="B95:B148" si="2">B94+1</f>
        <v>3</v>
      </c>
      <c r="C95" s="100" t="s">
        <v>80</v>
      </c>
      <c r="D95" s="9">
        <f>1+7</f>
        <v>8</v>
      </c>
      <c r="E95" s="19">
        <f>(210+2037)/1000</f>
        <v>2.2469999999999999</v>
      </c>
      <c r="F95" s="8">
        <v>3</v>
      </c>
      <c r="G95" s="20">
        <f>31/1000</f>
        <v>3.1E-2</v>
      </c>
      <c r="H95" s="9">
        <v>3</v>
      </c>
      <c r="I95" s="90">
        <f>36/1000</f>
        <v>3.5999999999999997E-2</v>
      </c>
      <c r="J95" s="9">
        <v>1</v>
      </c>
      <c r="K95" s="53">
        <f>110/1000</f>
        <v>0.11</v>
      </c>
      <c r="L95" s="105"/>
    </row>
    <row r="96" spans="1:12" ht="15.75" x14ac:dyDescent="0.25">
      <c r="A96" s="7" t="s">
        <v>20</v>
      </c>
      <c r="B96" s="7">
        <f t="shared" si="2"/>
        <v>4</v>
      </c>
      <c r="C96" s="100" t="s">
        <v>81</v>
      </c>
      <c r="D96" s="9">
        <f>1+1+1+2+27</f>
        <v>32</v>
      </c>
      <c r="E96" s="19">
        <f>(220+400+292+30+1159)/1000</f>
        <v>2.101</v>
      </c>
      <c r="F96" s="9">
        <v>24</v>
      </c>
      <c r="G96" s="19">
        <f>895/1000</f>
        <v>0.89500000000000002</v>
      </c>
      <c r="H96" s="9">
        <f>26+12+1</f>
        <v>39</v>
      </c>
      <c r="I96" s="90">
        <f>(358.5+128.5+12)/1000</f>
        <v>0.499</v>
      </c>
      <c r="J96" s="8">
        <f>1+2</f>
        <v>3</v>
      </c>
      <c r="K96" s="89">
        <f>(1973.99+(150+7))/1000</f>
        <v>2.1309899999999997</v>
      </c>
      <c r="L96" s="105"/>
    </row>
    <row r="97" spans="1:13" ht="15.75" x14ac:dyDescent="0.25">
      <c r="A97" s="7" t="s">
        <v>20</v>
      </c>
      <c r="B97" s="7">
        <f t="shared" si="2"/>
        <v>5</v>
      </c>
      <c r="C97" s="100" t="s">
        <v>82</v>
      </c>
      <c r="D97" s="9">
        <f>1+1</f>
        <v>2</v>
      </c>
      <c r="E97" s="19">
        <f>(100+12)/1000</f>
        <v>0.112</v>
      </c>
      <c r="F97" s="9">
        <f>1+1</f>
        <v>2</v>
      </c>
      <c r="G97" s="19">
        <f>(15+12)/1000</f>
        <v>2.7E-2</v>
      </c>
      <c r="H97" s="9">
        <f>3+2</f>
        <v>5</v>
      </c>
      <c r="I97" s="90">
        <f>(45+22)/1000</f>
        <v>6.7000000000000004E-2</v>
      </c>
      <c r="J97" s="8">
        <v>0</v>
      </c>
      <c r="K97" s="89">
        <v>0</v>
      </c>
      <c r="L97" s="105"/>
    </row>
    <row r="98" spans="1:13" ht="15.75" x14ac:dyDescent="0.25">
      <c r="A98" s="7" t="s">
        <v>20</v>
      </c>
      <c r="B98" s="7">
        <f t="shared" si="2"/>
        <v>6</v>
      </c>
      <c r="C98" s="100" t="s">
        <v>29</v>
      </c>
      <c r="D98" s="7">
        <v>3</v>
      </c>
      <c r="E98" s="19">
        <f>28/1000</f>
        <v>2.8000000000000001E-2</v>
      </c>
      <c r="F98" s="8">
        <v>1</v>
      </c>
      <c r="G98" s="20">
        <f>15/1000</f>
        <v>1.4999999999999999E-2</v>
      </c>
      <c r="H98" s="7">
        <v>2</v>
      </c>
      <c r="I98" s="90">
        <f>22.5/1000</f>
        <v>2.2499999999999999E-2</v>
      </c>
      <c r="J98" s="8">
        <v>0</v>
      </c>
      <c r="K98" s="52">
        <v>0</v>
      </c>
      <c r="L98" s="105"/>
    </row>
    <row r="99" spans="1:13" ht="15.75" x14ac:dyDescent="0.25">
      <c r="A99" s="7" t="s">
        <v>20</v>
      </c>
      <c r="B99" s="7">
        <f t="shared" si="2"/>
        <v>7</v>
      </c>
      <c r="C99" s="100" t="s">
        <v>83</v>
      </c>
      <c r="D99" s="9">
        <v>2</v>
      </c>
      <c r="E99" s="19">
        <f>23/1000</f>
        <v>2.3E-2</v>
      </c>
      <c r="F99" s="8">
        <v>1</v>
      </c>
      <c r="G99" s="20">
        <f>15/1000</f>
        <v>1.4999999999999999E-2</v>
      </c>
      <c r="H99" s="91">
        <v>1</v>
      </c>
      <c r="I99" s="92">
        <f>8/1000</f>
        <v>8.0000000000000002E-3</v>
      </c>
      <c r="J99" s="8">
        <v>0</v>
      </c>
      <c r="K99" s="52">
        <v>0</v>
      </c>
      <c r="L99" s="105"/>
    </row>
    <row r="100" spans="1:13" ht="15.75" x14ac:dyDescent="0.25">
      <c r="A100" s="7" t="s">
        <v>20</v>
      </c>
      <c r="B100" s="7">
        <f t="shared" si="2"/>
        <v>8</v>
      </c>
      <c r="C100" s="100" t="s">
        <v>84</v>
      </c>
      <c r="D100" s="7">
        <v>1</v>
      </c>
      <c r="E100" s="19">
        <f>2111/1000</f>
        <v>2.1110000000000002</v>
      </c>
      <c r="F100" s="8">
        <v>0</v>
      </c>
      <c r="G100" s="20">
        <v>0</v>
      </c>
      <c r="H100" s="8">
        <v>0</v>
      </c>
      <c r="I100" s="93">
        <v>0</v>
      </c>
      <c r="J100" s="8">
        <v>0</v>
      </c>
      <c r="K100" s="52">
        <v>0</v>
      </c>
      <c r="L100" s="105"/>
    </row>
    <row r="101" spans="1:13" ht="15.75" x14ac:dyDescent="0.25">
      <c r="A101" s="7" t="s">
        <v>20</v>
      </c>
      <c r="B101" s="7">
        <f t="shared" si="2"/>
        <v>9</v>
      </c>
      <c r="C101" s="100" t="s">
        <v>31</v>
      </c>
      <c r="D101" s="9">
        <v>1</v>
      </c>
      <c r="E101" s="19">
        <f>12/1000</f>
        <v>1.2E-2</v>
      </c>
      <c r="F101" s="9">
        <v>2</v>
      </c>
      <c r="G101" s="19">
        <f>24/1000</f>
        <v>2.4E-2</v>
      </c>
      <c r="H101" s="8">
        <v>1</v>
      </c>
      <c r="I101" s="93">
        <f>7/1000</f>
        <v>7.0000000000000001E-3</v>
      </c>
      <c r="J101" s="8">
        <v>0</v>
      </c>
      <c r="K101" s="52">
        <v>0</v>
      </c>
      <c r="L101" s="105"/>
    </row>
    <row r="102" spans="1:13" ht="15.75" x14ac:dyDescent="0.25">
      <c r="A102" s="7" t="s">
        <v>20</v>
      </c>
      <c r="B102" s="7">
        <f t="shared" si="2"/>
        <v>10</v>
      </c>
      <c r="C102" s="100" t="s">
        <v>33</v>
      </c>
      <c r="D102" s="9">
        <v>4</v>
      </c>
      <c r="E102" s="19">
        <f>124/1000</f>
        <v>0.124</v>
      </c>
      <c r="F102" s="9">
        <v>4</v>
      </c>
      <c r="G102" s="19">
        <f>184/1000</f>
        <v>0.184</v>
      </c>
      <c r="H102" s="91">
        <v>0</v>
      </c>
      <c r="I102" s="92">
        <v>0</v>
      </c>
      <c r="J102" s="8">
        <v>1</v>
      </c>
      <c r="K102" s="89">
        <f>98/1000</f>
        <v>9.8000000000000004E-2</v>
      </c>
      <c r="L102" s="105"/>
    </row>
    <row r="103" spans="1:13" ht="15.75" x14ac:dyDescent="0.25">
      <c r="A103" s="7" t="s">
        <v>20</v>
      </c>
      <c r="B103" s="7">
        <f t="shared" si="2"/>
        <v>11</v>
      </c>
      <c r="C103" s="100" t="s">
        <v>23</v>
      </c>
      <c r="D103" s="7">
        <v>7</v>
      </c>
      <c r="E103" s="19">
        <f>77/1000</f>
        <v>7.6999999999999999E-2</v>
      </c>
      <c r="F103" s="9">
        <v>5</v>
      </c>
      <c r="G103" s="19">
        <f>53/1000</f>
        <v>5.2999999999999999E-2</v>
      </c>
      <c r="H103" s="91">
        <v>4</v>
      </c>
      <c r="I103" s="92">
        <f>48/1000</f>
        <v>4.8000000000000001E-2</v>
      </c>
      <c r="J103" s="8">
        <f>1+1</f>
        <v>2</v>
      </c>
      <c r="K103" s="89">
        <f>(50+95)/1000</f>
        <v>0.14499999999999999</v>
      </c>
    </row>
    <row r="104" spans="1:13" ht="15.75" x14ac:dyDescent="0.25">
      <c r="A104" s="7" t="s">
        <v>20</v>
      </c>
      <c r="B104" s="7">
        <f t="shared" si="2"/>
        <v>12</v>
      </c>
      <c r="C104" s="100" t="s">
        <v>35</v>
      </c>
      <c r="D104" s="9">
        <v>12</v>
      </c>
      <c r="E104" s="19">
        <f>426/1000</f>
        <v>0.42599999999999999</v>
      </c>
      <c r="F104" s="9">
        <v>8</v>
      </c>
      <c r="G104" s="19">
        <f>80/1000</f>
        <v>0.08</v>
      </c>
      <c r="H104" s="91">
        <v>7</v>
      </c>
      <c r="I104" s="92">
        <f>64/1000</f>
        <v>6.4000000000000001E-2</v>
      </c>
      <c r="J104" s="8">
        <v>0</v>
      </c>
      <c r="K104" s="89">
        <v>0</v>
      </c>
    </row>
    <row r="105" spans="1:13" ht="15.75" x14ac:dyDescent="0.25">
      <c r="A105" s="7" t="s">
        <v>20</v>
      </c>
      <c r="B105" s="7">
        <f t="shared" si="2"/>
        <v>13</v>
      </c>
      <c r="C105" s="100" t="s">
        <v>36</v>
      </c>
      <c r="D105" s="9">
        <f>1+3+3</f>
        <v>7</v>
      </c>
      <c r="E105" s="19">
        <f>(25+40.8+47)/1000</f>
        <v>0.1128</v>
      </c>
      <c r="F105" s="9">
        <f>1+5</f>
        <v>6</v>
      </c>
      <c r="G105" s="19">
        <f>(100+139)/1000</f>
        <v>0.23899999999999999</v>
      </c>
      <c r="H105" s="8">
        <f>1+4</f>
        <v>5</v>
      </c>
      <c r="I105" s="93">
        <f>(304+88.9)/1000</f>
        <v>0.39289999999999997</v>
      </c>
      <c r="J105" s="8">
        <v>2</v>
      </c>
      <c r="K105" s="89">
        <f>25/1000</f>
        <v>2.5000000000000001E-2</v>
      </c>
    </row>
    <row r="106" spans="1:13" ht="15.75" x14ac:dyDescent="0.25">
      <c r="A106" s="7" t="s">
        <v>20</v>
      </c>
      <c r="B106" s="7">
        <f t="shared" si="2"/>
        <v>14</v>
      </c>
      <c r="C106" s="100" t="s">
        <v>37</v>
      </c>
      <c r="D106" s="9">
        <v>1</v>
      </c>
      <c r="E106" s="19">
        <f>10/1000</f>
        <v>0.01</v>
      </c>
      <c r="F106" s="9">
        <v>2</v>
      </c>
      <c r="G106" s="19">
        <f>183.9/1000</f>
        <v>0.18390000000000001</v>
      </c>
      <c r="H106" s="91">
        <v>4</v>
      </c>
      <c r="I106" s="92">
        <f>32.5/1000</f>
        <v>3.2500000000000001E-2</v>
      </c>
      <c r="J106" s="8">
        <v>1</v>
      </c>
      <c r="K106" s="89">
        <f>35/1000</f>
        <v>3.5000000000000003E-2</v>
      </c>
    </row>
    <row r="107" spans="1:13" ht="15.75" x14ac:dyDescent="0.25">
      <c r="A107" s="7" t="s">
        <v>20</v>
      </c>
      <c r="B107" s="7">
        <f t="shared" si="2"/>
        <v>15</v>
      </c>
      <c r="C107" s="100" t="s">
        <v>85</v>
      </c>
      <c r="D107" s="9">
        <f>1+15</f>
        <v>16</v>
      </c>
      <c r="E107" s="19">
        <f>(15+167)/1000</f>
        <v>0.182</v>
      </c>
      <c r="F107" s="9">
        <f>11+1</f>
        <v>12</v>
      </c>
      <c r="G107" s="19">
        <f>(131+8)/1000</f>
        <v>0.13900000000000001</v>
      </c>
      <c r="H107" s="91">
        <f>6+1</f>
        <v>7</v>
      </c>
      <c r="I107" s="94">
        <f>(60+8)/1000</f>
        <v>6.8000000000000005E-2</v>
      </c>
      <c r="J107" s="8">
        <v>0</v>
      </c>
      <c r="K107" s="89">
        <v>0</v>
      </c>
    </row>
    <row r="108" spans="1:13" ht="15.75" x14ac:dyDescent="0.25">
      <c r="A108" s="7" t="s">
        <v>20</v>
      </c>
      <c r="B108" s="7">
        <f t="shared" si="2"/>
        <v>16</v>
      </c>
      <c r="C108" s="100" t="s">
        <v>39</v>
      </c>
      <c r="D108" s="9">
        <v>1</v>
      </c>
      <c r="E108" s="19">
        <f>12/1000</f>
        <v>1.2E-2</v>
      </c>
      <c r="F108" s="9">
        <v>0</v>
      </c>
      <c r="G108" s="19">
        <v>0</v>
      </c>
      <c r="H108" s="9">
        <v>4</v>
      </c>
      <c r="I108" s="90">
        <f>44/1000</f>
        <v>4.3999999999999997E-2</v>
      </c>
      <c r="J108" s="8">
        <v>0</v>
      </c>
      <c r="K108" s="89">
        <v>0</v>
      </c>
      <c r="M108" s="54"/>
    </row>
    <row r="109" spans="1:13" ht="15.75" x14ac:dyDescent="0.25">
      <c r="A109" s="7" t="s">
        <v>20</v>
      </c>
      <c r="B109" s="7">
        <f t="shared" si="2"/>
        <v>17</v>
      </c>
      <c r="C109" s="100" t="s">
        <v>86</v>
      </c>
      <c r="D109" s="9">
        <v>1</v>
      </c>
      <c r="E109" s="19">
        <f>7/1000</f>
        <v>7.0000000000000001E-3</v>
      </c>
      <c r="F109" s="9">
        <v>0</v>
      </c>
      <c r="G109" s="19">
        <v>0</v>
      </c>
      <c r="H109" s="8">
        <v>4</v>
      </c>
      <c r="I109" s="93">
        <f>55/1000</f>
        <v>5.5E-2</v>
      </c>
      <c r="J109" s="8">
        <v>0</v>
      </c>
      <c r="K109" s="89">
        <v>0</v>
      </c>
    </row>
    <row r="110" spans="1:13" ht="15.75" x14ac:dyDescent="0.25">
      <c r="A110" s="7" t="s">
        <v>20</v>
      </c>
      <c r="B110" s="7">
        <f t="shared" si="2"/>
        <v>18</v>
      </c>
      <c r="C110" s="100" t="s">
        <v>87</v>
      </c>
      <c r="D110" s="7">
        <v>2</v>
      </c>
      <c r="E110" s="19">
        <f>106/1000</f>
        <v>0.106</v>
      </c>
      <c r="F110" s="9">
        <v>1</v>
      </c>
      <c r="G110" s="19">
        <f>57/1000</f>
        <v>5.7000000000000002E-2</v>
      </c>
      <c r="H110" s="8">
        <v>0</v>
      </c>
      <c r="I110" s="93">
        <v>0</v>
      </c>
      <c r="J110" s="8">
        <v>0</v>
      </c>
      <c r="K110" s="89">
        <v>0</v>
      </c>
    </row>
    <row r="111" spans="1:13" s="60" customFormat="1" ht="15.75" x14ac:dyDescent="0.25">
      <c r="A111" s="7" t="s">
        <v>20</v>
      </c>
      <c r="B111" s="7">
        <f t="shared" si="2"/>
        <v>19</v>
      </c>
      <c r="C111" s="100" t="s">
        <v>42</v>
      </c>
      <c r="D111" s="7">
        <v>14</v>
      </c>
      <c r="E111" s="19">
        <f>477/1000</f>
        <v>0.47699999999999998</v>
      </c>
      <c r="F111" s="8">
        <v>13</v>
      </c>
      <c r="G111" s="20">
        <f>158.5/1000</f>
        <v>0.1585</v>
      </c>
      <c r="H111" s="8">
        <f>19+1</f>
        <v>20</v>
      </c>
      <c r="I111" s="93">
        <f>(237.38+8.7)/1000</f>
        <v>0.24607999999999999</v>
      </c>
      <c r="J111" s="8">
        <v>1</v>
      </c>
      <c r="K111" s="52">
        <f>300/1000</f>
        <v>0.3</v>
      </c>
    </row>
    <row r="112" spans="1:13" s="60" customFormat="1" ht="15.75" x14ac:dyDescent="0.25">
      <c r="A112" s="7" t="s">
        <v>20</v>
      </c>
      <c r="B112" s="7">
        <f t="shared" si="2"/>
        <v>20</v>
      </c>
      <c r="C112" s="106" t="s">
        <v>43</v>
      </c>
      <c r="D112" s="9">
        <v>1</v>
      </c>
      <c r="E112" s="19">
        <f>15/1000</f>
        <v>1.4999999999999999E-2</v>
      </c>
      <c r="F112" s="8">
        <f>6+1</f>
        <v>7</v>
      </c>
      <c r="G112" s="20">
        <f>83/1000+0.015</f>
        <v>9.8000000000000004E-2</v>
      </c>
      <c r="H112" s="9">
        <v>0</v>
      </c>
      <c r="I112" s="90">
        <v>0</v>
      </c>
      <c r="J112" s="8">
        <v>0</v>
      </c>
      <c r="K112" s="89">
        <v>0</v>
      </c>
    </row>
    <row r="113" spans="1:11" ht="15.75" x14ac:dyDescent="0.25">
      <c r="A113" s="7" t="s">
        <v>20</v>
      </c>
      <c r="B113" s="7">
        <f t="shared" si="2"/>
        <v>21</v>
      </c>
      <c r="C113" s="100" t="s">
        <v>88</v>
      </c>
      <c r="D113" s="7">
        <v>1</v>
      </c>
      <c r="E113" s="19">
        <f>5/1000</f>
        <v>5.0000000000000001E-3</v>
      </c>
      <c r="F113" s="9">
        <v>0</v>
      </c>
      <c r="G113" s="19">
        <v>0</v>
      </c>
      <c r="H113" s="9">
        <v>0</v>
      </c>
      <c r="I113" s="90">
        <v>0</v>
      </c>
      <c r="J113" s="8">
        <v>0</v>
      </c>
      <c r="K113" s="89">
        <v>0</v>
      </c>
    </row>
    <row r="114" spans="1:11" ht="15.75" x14ac:dyDescent="0.25">
      <c r="A114" s="7" t="s">
        <v>20</v>
      </c>
      <c r="B114" s="7">
        <f t="shared" si="2"/>
        <v>22</v>
      </c>
      <c r="C114" s="100" t="s">
        <v>44</v>
      </c>
      <c r="D114" s="9">
        <v>3</v>
      </c>
      <c r="E114" s="19">
        <f>21/1000</f>
        <v>2.1000000000000001E-2</v>
      </c>
      <c r="F114" s="9">
        <f>1+1</f>
        <v>2</v>
      </c>
      <c r="G114" s="19">
        <f>(15+510)/1000</f>
        <v>0.52500000000000002</v>
      </c>
      <c r="H114" s="9">
        <v>3</v>
      </c>
      <c r="I114" s="90">
        <f>1044.6/1000</f>
        <v>1.0446</v>
      </c>
      <c r="J114" s="8">
        <v>0</v>
      </c>
      <c r="K114" s="89">
        <v>0</v>
      </c>
    </row>
    <row r="115" spans="1:11" ht="15.75" x14ac:dyDescent="0.25">
      <c r="A115" s="7" t="s">
        <v>20</v>
      </c>
      <c r="B115" s="7">
        <f t="shared" si="2"/>
        <v>23</v>
      </c>
      <c r="C115" s="100" t="s">
        <v>89</v>
      </c>
      <c r="D115" s="9">
        <f>1+1</f>
        <v>2</v>
      </c>
      <c r="E115" s="19">
        <f>(3+10)/1000</f>
        <v>1.2999999999999999E-2</v>
      </c>
      <c r="F115" s="9">
        <f>1+1</f>
        <v>2</v>
      </c>
      <c r="G115" s="19">
        <f>(3+12)/1000</f>
        <v>1.4999999999999999E-2</v>
      </c>
      <c r="H115" s="9">
        <v>5</v>
      </c>
      <c r="I115" s="90">
        <f>43.5/1000</f>
        <v>4.3499999999999997E-2</v>
      </c>
      <c r="J115" s="8">
        <v>0</v>
      </c>
      <c r="K115" s="89">
        <v>0</v>
      </c>
    </row>
    <row r="116" spans="1:11" ht="15.75" x14ac:dyDescent="0.25">
      <c r="A116" s="7" t="s">
        <v>20</v>
      </c>
      <c r="B116" s="7">
        <f t="shared" si="2"/>
        <v>24</v>
      </c>
      <c r="C116" s="106" t="s">
        <v>90</v>
      </c>
      <c r="D116" s="9">
        <v>5</v>
      </c>
      <c r="E116" s="19">
        <f>75/1000</f>
        <v>7.4999999999999997E-2</v>
      </c>
      <c r="F116" s="9">
        <f>4+1</f>
        <v>5</v>
      </c>
      <c r="G116" s="19">
        <f>(52+12)/1000</f>
        <v>6.4000000000000001E-2</v>
      </c>
      <c r="H116" s="9">
        <v>11</v>
      </c>
      <c r="I116" s="90">
        <f>148.65/1000</f>
        <v>0.14865</v>
      </c>
      <c r="J116" s="8">
        <v>0</v>
      </c>
      <c r="K116" s="89">
        <v>0</v>
      </c>
    </row>
    <row r="117" spans="1:11" ht="15.75" x14ac:dyDescent="0.25">
      <c r="A117" s="7" t="s">
        <v>20</v>
      </c>
      <c r="B117" s="7">
        <f t="shared" si="2"/>
        <v>25</v>
      </c>
      <c r="C117" s="100" t="s">
        <v>46</v>
      </c>
      <c r="D117" s="9">
        <v>3</v>
      </c>
      <c r="E117" s="19">
        <f>542/1000</f>
        <v>0.54200000000000004</v>
      </c>
      <c r="F117" s="9">
        <v>3</v>
      </c>
      <c r="G117" s="19">
        <f>24/1000</f>
        <v>2.4E-2</v>
      </c>
      <c r="H117" s="9">
        <v>3</v>
      </c>
      <c r="I117" s="90">
        <f>12.63/1000</f>
        <v>1.2630000000000001E-2</v>
      </c>
      <c r="J117" s="9">
        <v>1</v>
      </c>
      <c r="K117" s="53">
        <f>525/1000</f>
        <v>0.52500000000000002</v>
      </c>
    </row>
    <row r="118" spans="1:11" ht="15.75" x14ac:dyDescent="0.25">
      <c r="A118" s="7" t="s">
        <v>20</v>
      </c>
      <c r="B118" s="7">
        <f t="shared" si="2"/>
        <v>26</v>
      </c>
      <c r="C118" s="100" t="s">
        <v>91</v>
      </c>
      <c r="D118" s="9">
        <v>1</v>
      </c>
      <c r="E118" s="19">
        <f>50/1000</f>
        <v>0.05</v>
      </c>
      <c r="F118" s="9">
        <v>1</v>
      </c>
      <c r="G118" s="83">
        <v>0.05</v>
      </c>
      <c r="H118" s="9">
        <v>0</v>
      </c>
      <c r="I118" s="90">
        <v>0</v>
      </c>
      <c r="J118" s="9">
        <v>0</v>
      </c>
      <c r="K118" s="53">
        <v>0</v>
      </c>
    </row>
    <row r="119" spans="1:11" ht="15.75" x14ac:dyDescent="0.25">
      <c r="A119" s="7" t="s">
        <v>20</v>
      </c>
      <c r="B119" s="7">
        <f t="shared" si="2"/>
        <v>27</v>
      </c>
      <c r="C119" s="100" t="s">
        <v>47</v>
      </c>
      <c r="D119" s="9">
        <v>2</v>
      </c>
      <c r="E119" s="19">
        <f>22/1000</f>
        <v>2.1999999999999999E-2</v>
      </c>
      <c r="F119" s="8">
        <v>1</v>
      </c>
      <c r="G119" s="20">
        <f>7/1000</f>
        <v>7.0000000000000001E-3</v>
      </c>
      <c r="H119" s="7">
        <v>0</v>
      </c>
      <c r="I119" s="90">
        <v>0</v>
      </c>
      <c r="J119" s="9">
        <v>0</v>
      </c>
      <c r="K119" s="53">
        <v>0</v>
      </c>
    </row>
    <row r="120" spans="1:11" ht="15" customHeight="1" x14ac:dyDescent="0.25">
      <c r="A120" s="7" t="s">
        <v>20</v>
      </c>
      <c r="B120" s="7">
        <f t="shared" si="2"/>
        <v>28</v>
      </c>
      <c r="C120" s="100" t="s">
        <v>48</v>
      </c>
      <c r="D120" s="7">
        <v>1</v>
      </c>
      <c r="E120" s="19">
        <f>6/1000</f>
        <v>6.0000000000000001E-3</v>
      </c>
      <c r="F120" s="9">
        <v>3</v>
      </c>
      <c r="G120" s="19">
        <f>86/1000</f>
        <v>8.5999999999999993E-2</v>
      </c>
      <c r="H120" s="8">
        <v>1</v>
      </c>
      <c r="I120" s="93">
        <f>15/1000</f>
        <v>1.4999999999999999E-2</v>
      </c>
      <c r="J120" s="9">
        <v>0</v>
      </c>
      <c r="K120" s="53">
        <v>0</v>
      </c>
    </row>
    <row r="121" spans="1:11" s="6" customFormat="1" ht="15.75" x14ac:dyDescent="0.25">
      <c r="A121" s="7" t="s">
        <v>20</v>
      </c>
      <c r="B121" s="7">
        <f t="shared" si="2"/>
        <v>29</v>
      </c>
      <c r="C121" s="100" t="s">
        <v>49</v>
      </c>
      <c r="D121" s="7">
        <v>1</v>
      </c>
      <c r="E121" s="22">
        <f>8/1000</f>
        <v>8.0000000000000002E-3</v>
      </c>
      <c r="F121" s="9">
        <v>2</v>
      </c>
      <c r="G121" s="19">
        <f>18/1000</f>
        <v>1.7999999999999999E-2</v>
      </c>
      <c r="H121" s="91">
        <v>2</v>
      </c>
      <c r="I121" s="92">
        <f>10.5/1000</f>
        <v>1.0500000000000001E-2</v>
      </c>
      <c r="J121" s="9">
        <v>0</v>
      </c>
      <c r="K121" s="53">
        <v>0</v>
      </c>
    </row>
    <row r="122" spans="1:11" s="6" customFormat="1" ht="15.75" x14ac:dyDescent="0.25">
      <c r="A122" s="7" t="s">
        <v>20</v>
      </c>
      <c r="B122" s="7">
        <f t="shared" si="2"/>
        <v>30</v>
      </c>
      <c r="C122" s="100" t="s">
        <v>50</v>
      </c>
      <c r="D122" s="7">
        <v>1</v>
      </c>
      <c r="E122" s="22">
        <f>12/1000</f>
        <v>1.2E-2</v>
      </c>
      <c r="F122" s="8">
        <v>2</v>
      </c>
      <c r="G122" s="20">
        <f>16/1000</f>
        <v>1.6E-2</v>
      </c>
      <c r="H122" s="9">
        <f>1+7</f>
        <v>8</v>
      </c>
      <c r="I122" s="90">
        <f>(5+63)/1000</f>
        <v>6.8000000000000005E-2</v>
      </c>
      <c r="J122" s="9">
        <v>0</v>
      </c>
      <c r="K122" s="53">
        <v>0</v>
      </c>
    </row>
    <row r="123" spans="1:11" s="40" customFormat="1" ht="15.75" x14ac:dyDescent="0.25">
      <c r="A123" s="7" t="s">
        <v>20</v>
      </c>
      <c r="B123" s="7">
        <f t="shared" si="2"/>
        <v>31</v>
      </c>
      <c r="C123" s="100" t="s">
        <v>92</v>
      </c>
      <c r="D123" s="7">
        <v>1</v>
      </c>
      <c r="E123" s="22">
        <f>12/1000</f>
        <v>1.2E-2</v>
      </c>
      <c r="F123" s="8">
        <v>0</v>
      </c>
      <c r="G123" s="20">
        <v>0</v>
      </c>
      <c r="H123" s="95">
        <v>0</v>
      </c>
      <c r="I123" s="96">
        <v>0</v>
      </c>
      <c r="J123" s="9">
        <v>0</v>
      </c>
      <c r="K123" s="53">
        <v>0</v>
      </c>
    </row>
    <row r="124" spans="1:11" s="41" customFormat="1" ht="15.75" x14ac:dyDescent="0.25">
      <c r="A124" s="7" t="s">
        <v>20</v>
      </c>
      <c r="B124" s="7">
        <f t="shared" si="2"/>
        <v>32</v>
      </c>
      <c r="C124" s="100" t="s">
        <v>51</v>
      </c>
      <c r="D124" s="7">
        <v>1</v>
      </c>
      <c r="E124" s="22">
        <f>5/1000</f>
        <v>5.0000000000000001E-3</v>
      </c>
      <c r="F124" s="38">
        <v>3</v>
      </c>
      <c r="G124" s="84">
        <f>17/1000</f>
        <v>1.7000000000000001E-2</v>
      </c>
      <c r="H124" s="8">
        <f>1+2</f>
        <v>3</v>
      </c>
      <c r="I124" s="93">
        <f>(5+15)/1000</f>
        <v>0.02</v>
      </c>
      <c r="J124" s="9">
        <v>0</v>
      </c>
      <c r="K124" s="53">
        <v>0</v>
      </c>
    </row>
    <row r="125" spans="1:11" s="63" customFormat="1" ht="15.75" x14ac:dyDescent="0.25">
      <c r="A125" s="7" t="s">
        <v>20</v>
      </c>
      <c r="B125" s="7">
        <f t="shared" si="2"/>
        <v>33</v>
      </c>
      <c r="C125" s="100" t="s">
        <v>52</v>
      </c>
      <c r="D125" s="7">
        <v>5</v>
      </c>
      <c r="E125" s="22">
        <f>63/1000</f>
        <v>6.3E-2</v>
      </c>
      <c r="F125" s="8">
        <v>3</v>
      </c>
      <c r="G125" s="20">
        <f>37/1000</f>
        <v>3.6999999999999998E-2</v>
      </c>
      <c r="H125" s="95">
        <v>1</v>
      </c>
      <c r="I125" s="96">
        <f>15/1000</f>
        <v>1.4999999999999999E-2</v>
      </c>
      <c r="J125" s="9">
        <v>0</v>
      </c>
      <c r="K125" s="53">
        <v>0</v>
      </c>
    </row>
    <row r="126" spans="1:11" s="63" customFormat="1" ht="15.75" x14ac:dyDescent="0.25">
      <c r="A126" s="7" t="s">
        <v>20</v>
      </c>
      <c r="B126" s="7">
        <f t="shared" si="2"/>
        <v>34</v>
      </c>
      <c r="C126" s="100" t="s">
        <v>53</v>
      </c>
      <c r="D126" s="38">
        <v>1</v>
      </c>
      <c r="E126" s="84">
        <f>8/1000</f>
        <v>8.0000000000000002E-3</v>
      </c>
      <c r="F126" s="38">
        <v>2</v>
      </c>
      <c r="G126" s="84">
        <f>242/1000</f>
        <v>0.24199999999999999</v>
      </c>
      <c r="H126" s="8">
        <v>1</v>
      </c>
      <c r="I126" s="93">
        <f>15/1000</f>
        <v>1.4999999999999999E-2</v>
      </c>
      <c r="J126" s="9">
        <v>0</v>
      </c>
      <c r="K126" s="53">
        <v>0</v>
      </c>
    </row>
    <row r="127" spans="1:11" s="63" customFormat="1" ht="15.75" x14ac:dyDescent="0.25">
      <c r="A127" s="7" t="s">
        <v>20</v>
      </c>
      <c r="B127" s="7">
        <f t="shared" si="2"/>
        <v>35</v>
      </c>
      <c r="C127" s="100" t="s">
        <v>93</v>
      </c>
      <c r="D127" s="38">
        <v>1</v>
      </c>
      <c r="E127" s="84">
        <f>12/1000</f>
        <v>1.2E-2</v>
      </c>
      <c r="F127" s="38">
        <v>0</v>
      </c>
      <c r="G127" s="84">
        <v>0</v>
      </c>
      <c r="H127" s="95">
        <v>0</v>
      </c>
      <c r="I127" s="96">
        <v>0</v>
      </c>
      <c r="J127" s="9">
        <v>0</v>
      </c>
      <c r="K127" s="53">
        <v>0</v>
      </c>
    </row>
    <row r="128" spans="1:11" s="63" customFormat="1" ht="15.75" x14ac:dyDescent="0.25">
      <c r="A128" s="7" t="s">
        <v>20</v>
      </c>
      <c r="B128" s="7">
        <f t="shared" si="2"/>
        <v>36</v>
      </c>
      <c r="C128" s="100" t="s">
        <v>54</v>
      </c>
      <c r="D128" s="7">
        <v>3</v>
      </c>
      <c r="E128" s="19">
        <f>61/1000</f>
        <v>6.0999999999999999E-2</v>
      </c>
      <c r="F128" s="8">
        <f>4+1</f>
        <v>5</v>
      </c>
      <c r="G128" s="20">
        <f>(75+15)/1000</f>
        <v>0.09</v>
      </c>
      <c r="H128" s="8">
        <v>3</v>
      </c>
      <c r="I128" s="93">
        <f>38/1000</f>
        <v>3.7999999999999999E-2</v>
      </c>
      <c r="J128" s="8">
        <v>1</v>
      </c>
      <c r="K128" s="89">
        <f>25/1000</f>
        <v>2.5000000000000001E-2</v>
      </c>
    </row>
    <row r="129" spans="1:11" s="62" customFormat="1" ht="15.75" x14ac:dyDescent="0.25">
      <c r="A129" s="7" t="s">
        <v>20</v>
      </c>
      <c r="B129" s="7">
        <f t="shared" si="2"/>
        <v>37</v>
      </c>
      <c r="C129" s="100" t="s">
        <v>94</v>
      </c>
      <c r="D129" s="7">
        <f>6+4</f>
        <v>10</v>
      </c>
      <c r="E129" s="19">
        <f>(101+58.8)/1000</f>
        <v>0.1598</v>
      </c>
      <c r="F129" s="8">
        <v>4</v>
      </c>
      <c r="G129" s="20">
        <f>36/1000</f>
        <v>3.5999999999999997E-2</v>
      </c>
      <c r="H129" s="8">
        <v>3</v>
      </c>
      <c r="I129" s="93">
        <f>37.9/1000</f>
        <v>3.7899999999999996E-2</v>
      </c>
      <c r="J129" s="8">
        <v>3</v>
      </c>
      <c r="K129" s="89">
        <f>36.4/1000</f>
        <v>3.6400000000000002E-2</v>
      </c>
    </row>
    <row r="130" spans="1:11" s="50" customFormat="1" ht="15.75" x14ac:dyDescent="0.25">
      <c r="A130" s="7" t="s">
        <v>20</v>
      </c>
      <c r="B130" s="7">
        <f t="shared" si="2"/>
        <v>38</v>
      </c>
      <c r="C130" s="100" t="s">
        <v>55</v>
      </c>
      <c r="D130" s="38">
        <v>1</v>
      </c>
      <c r="E130" s="84">
        <f>15/1000</f>
        <v>1.4999999999999999E-2</v>
      </c>
      <c r="F130" s="38">
        <v>1</v>
      </c>
      <c r="G130" s="84">
        <f>340/1000</f>
        <v>0.34</v>
      </c>
      <c r="H130" s="8">
        <v>2</v>
      </c>
      <c r="I130" s="93">
        <f>23/1000</f>
        <v>2.3E-2</v>
      </c>
      <c r="J130" s="8">
        <v>0</v>
      </c>
      <c r="K130" s="89">
        <v>0</v>
      </c>
    </row>
    <row r="131" spans="1:11" s="73" customFormat="1" ht="15.75" x14ac:dyDescent="0.25">
      <c r="A131" s="7" t="s">
        <v>20</v>
      </c>
      <c r="B131" s="7">
        <f t="shared" si="2"/>
        <v>39</v>
      </c>
      <c r="C131" s="100" t="s">
        <v>95</v>
      </c>
      <c r="D131" s="38">
        <v>1</v>
      </c>
      <c r="E131" s="84">
        <f>24.6/1000</f>
        <v>2.46E-2</v>
      </c>
      <c r="F131" s="38">
        <v>0</v>
      </c>
      <c r="G131" s="84">
        <v>0</v>
      </c>
      <c r="H131" s="8">
        <v>1</v>
      </c>
      <c r="I131" s="93">
        <f>30/1000</f>
        <v>0.03</v>
      </c>
      <c r="J131" s="8">
        <v>0</v>
      </c>
      <c r="K131" s="89">
        <v>0</v>
      </c>
    </row>
    <row r="132" spans="1:11" s="73" customFormat="1" ht="15.75" x14ac:dyDescent="0.25">
      <c r="A132" s="7" t="s">
        <v>20</v>
      </c>
      <c r="B132" s="7">
        <f t="shared" si="2"/>
        <v>40</v>
      </c>
      <c r="C132" s="100" t="s">
        <v>96</v>
      </c>
      <c r="D132" s="38">
        <v>2</v>
      </c>
      <c r="E132" s="84">
        <f>29.8/1000</f>
        <v>2.98E-2</v>
      </c>
      <c r="F132" s="38">
        <v>2</v>
      </c>
      <c r="G132" s="84">
        <f>29.8/1000</f>
        <v>2.98E-2</v>
      </c>
      <c r="H132" s="8">
        <v>0</v>
      </c>
      <c r="I132" s="93">
        <v>0</v>
      </c>
      <c r="J132" s="8">
        <v>0</v>
      </c>
      <c r="K132" s="89">
        <v>0</v>
      </c>
    </row>
    <row r="133" spans="1:11" s="73" customFormat="1" ht="15.75" x14ac:dyDescent="0.25">
      <c r="A133" s="7" t="s">
        <v>20</v>
      </c>
      <c r="B133" s="7">
        <f t="shared" si="2"/>
        <v>41</v>
      </c>
      <c r="C133" s="100" t="s">
        <v>97</v>
      </c>
      <c r="D133" s="38">
        <v>1</v>
      </c>
      <c r="E133" s="84">
        <f>7/1000</f>
        <v>7.0000000000000001E-3</v>
      </c>
      <c r="F133" s="8">
        <v>1</v>
      </c>
      <c r="G133" s="20">
        <f>5/1000</f>
        <v>5.0000000000000001E-3</v>
      </c>
      <c r="H133" s="8">
        <v>0</v>
      </c>
      <c r="I133" s="93">
        <v>0</v>
      </c>
      <c r="J133" s="8">
        <v>1</v>
      </c>
      <c r="K133" s="89">
        <f>7/1000</f>
        <v>7.0000000000000001E-3</v>
      </c>
    </row>
    <row r="134" spans="1:11" s="74" customFormat="1" ht="15.75" x14ac:dyDescent="0.25">
      <c r="A134" s="7" t="s">
        <v>20</v>
      </c>
      <c r="B134" s="7">
        <f t="shared" si="2"/>
        <v>42</v>
      </c>
      <c r="C134" s="100" t="s">
        <v>98</v>
      </c>
      <c r="D134" s="38">
        <v>2</v>
      </c>
      <c r="E134" s="84">
        <f>5.5/1000</f>
        <v>5.4999999999999997E-3</v>
      </c>
      <c r="F134" s="38">
        <v>2</v>
      </c>
      <c r="G134" s="84">
        <f>650.5/1000</f>
        <v>0.65049999999999997</v>
      </c>
      <c r="H134" s="8">
        <v>0</v>
      </c>
      <c r="I134" s="93">
        <v>0</v>
      </c>
      <c r="J134" s="8">
        <v>0</v>
      </c>
      <c r="K134" s="89">
        <v>0</v>
      </c>
    </row>
    <row r="135" spans="1:11" s="74" customFormat="1" ht="15.75" x14ac:dyDescent="0.25">
      <c r="A135" s="7" t="s">
        <v>20</v>
      </c>
      <c r="B135" s="7">
        <f t="shared" si="2"/>
        <v>43</v>
      </c>
      <c r="C135" s="100" t="s">
        <v>56</v>
      </c>
      <c r="D135" s="38">
        <v>3</v>
      </c>
      <c r="E135" s="84">
        <f>35/1000</f>
        <v>3.5000000000000003E-2</v>
      </c>
      <c r="F135" s="38">
        <v>3</v>
      </c>
      <c r="G135" s="84">
        <f>20/1000</f>
        <v>0.02</v>
      </c>
      <c r="H135" s="8">
        <v>1</v>
      </c>
      <c r="I135" s="93">
        <f>7/1000</f>
        <v>7.0000000000000001E-3</v>
      </c>
      <c r="J135" s="8">
        <v>0</v>
      </c>
      <c r="K135" s="89">
        <v>0</v>
      </c>
    </row>
    <row r="136" spans="1:11" s="85" customFormat="1" ht="15.75" x14ac:dyDescent="0.25">
      <c r="A136" s="7" t="s">
        <v>20</v>
      </c>
      <c r="B136" s="7">
        <f t="shared" si="2"/>
        <v>44</v>
      </c>
      <c r="C136" s="100" t="s">
        <v>22</v>
      </c>
      <c r="D136" s="38">
        <v>1</v>
      </c>
      <c r="E136" s="84">
        <f>230/1000</f>
        <v>0.23</v>
      </c>
      <c r="F136" s="38">
        <v>4</v>
      </c>
      <c r="G136" s="84">
        <f>120/1000</f>
        <v>0.12</v>
      </c>
      <c r="H136" s="8">
        <v>3</v>
      </c>
      <c r="I136" s="93">
        <f>38.9/1000</f>
        <v>3.8899999999999997E-2</v>
      </c>
      <c r="J136" s="8">
        <v>1</v>
      </c>
      <c r="K136" s="89">
        <f>1600/1000</f>
        <v>1.6</v>
      </c>
    </row>
    <row r="137" spans="1:11" s="85" customFormat="1" ht="15.75" x14ac:dyDescent="0.25">
      <c r="A137" s="7" t="s">
        <v>20</v>
      </c>
      <c r="B137" s="7">
        <f t="shared" si="2"/>
        <v>45</v>
      </c>
      <c r="C137" s="100" t="s">
        <v>57</v>
      </c>
      <c r="D137" s="38">
        <f>1+1</f>
        <v>2</v>
      </c>
      <c r="E137" s="84">
        <f>(5+15)/1000</f>
        <v>0.02</v>
      </c>
      <c r="F137" s="38">
        <f>6+1</f>
        <v>7</v>
      </c>
      <c r="G137" s="84">
        <f>(215.7+12)/1000</f>
        <v>0.22769999999999999</v>
      </c>
      <c r="H137" s="8">
        <f>1+3</f>
        <v>4</v>
      </c>
      <c r="I137" s="93">
        <f>(129+220)/1000</f>
        <v>0.34899999999999998</v>
      </c>
      <c r="J137" s="8">
        <v>0</v>
      </c>
      <c r="K137" s="89">
        <v>0</v>
      </c>
    </row>
    <row r="138" spans="1:11" s="85" customFormat="1" ht="15.75" x14ac:dyDescent="0.25">
      <c r="A138" s="7" t="s">
        <v>20</v>
      </c>
      <c r="B138" s="7">
        <f t="shared" si="2"/>
        <v>46</v>
      </c>
      <c r="C138" s="100" t="s">
        <v>58</v>
      </c>
      <c r="D138" s="38">
        <f>5+1</f>
        <v>6</v>
      </c>
      <c r="E138" s="84">
        <f>(53+10)/1000</f>
        <v>6.3E-2</v>
      </c>
      <c r="F138" s="38">
        <f>3+1</f>
        <v>4</v>
      </c>
      <c r="G138" s="84">
        <f>(133+5)/1000</f>
        <v>0.13800000000000001</v>
      </c>
      <c r="H138" s="8">
        <f>3+2</f>
        <v>5</v>
      </c>
      <c r="I138" s="93">
        <f>(17+(7000+13))/1000</f>
        <v>7.03</v>
      </c>
      <c r="J138" s="8">
        <v>1</v>
      </c>
      <c r="K138" s="89">
        <f>30/1000</f>
        <v>0.03</v>
      </c>
    </row>
    <row r="139" spans="1:11" s="85" customFormat="1" ht="15.75" x14ac:dyDescent="0.25">
      <c r="A139" s="7" t="s">
        <v>20</v>
      </c>
      <c r="B139" s="7">
        <f t="shared" si="2"/>
        <v>47</v>
      </c>
      <c r="C139" s="100" t="s">
        <v>99</v>
      </c>
      <c r="D139" s="38">
        <f>1+1+6</f>
        <v>8</v>
      </c>
      <c r="E139" s="107">
        <f>(660+4+512.8)/1000</f>
        <v>1.1767999999999998</v>
      </c>
      <c r="F139" s="38">
        <f>1+8</f>
        <v>9</v>
      </c>
      <c r="G139" s="84">
        <f>(5+116.3)/1000</f>
        <v>0.12129999999999999</v>
      </c>
      <c r="H139" s="8">
        <v>3</v>
      </c>
      <c r="I139" s="93">
        <f>90/1000</f>
        <v>0.09</v>
      </c>
      <c r="J139" s="8">
        <f>1+1</f>
        <v>2</v>
      </c>
      <c r="K139" s="89">
        <f>(98+150)/1000</f>
        <v>0.248</v>
      </c>
    </row>
    <row r="140" spans="1:11" s="85" customFormat="1" ht="15.75" x14ac:dyDescent="0.25">
      <c r="A140" s="7" t="s">
        <v>20</v>
      </c>
      <c r="B140" s="7">
        <f t="shared" si="2"/>
        <v>48</v>
      </c>
      <c r="C140" s="100" t="s">
        <v>59</v>
      </c>
      <c r="D140" s="38">
        <f>16+2</f>
        <v>18</v>
      </c>
      <c r="E140" s="84">
        <f>(742+22)/1000</f>
        <v>0.76400000000000001</v>
      </c>
      <c r="F140" s="38">
        <f>1+22+2</f>
        <v>25</v>
      </c>
      <c r="G140" s="84">
        <f>(12+300.2+22)/1000</f>
        <v>0.3342</v>
      </c>
      <c r="H140" s="8">
        <f>42+13</f>
        <v>55</v>
      </c>
      <c r="I140" s="93">
        <f>(415+143)/1000</f>
        <v>0.55800000000000005</v>
      </c>
      <c r="J140" s="8">
        <v>1</v>
      </c>
      <c r="K140" s="89">
        <f>10/1000</f>
        <v>0.01</v>
      </c>
    </row>
    <row r="141" spans="1:11" s="85" customFormat="1" ht="15.75" x14ac:dyDescent="0.25">
      <c r="A141" s="7" t="s">
        <v>20</v>
      </c>
      <c r="B141" s="7">
        <f t="shared" si="2"/>
        <v>49</v>
      </c>
      <c r="C141" s="100" t="s">
        <v>100</v>
      </c>
      <c r="D141" s="38">
        <v>1</v>
      </c>
      <c r="E141" s="84">
        <f>48/1000</f>
        <v>4.8000000000000001E-2</v>
      </c>
      <c r="F141" s="38">
        <v>0</v>
      </c>
      <c r="G141" s="84">
        <v>0</v>
      </c>
      <c r="H141" s="8">
        <v>0</v>
      </c>
      <c r="I141" s="93">
        <v>0</v>
      </c>
      <c r="J141" s="8">
        <v>0</v>
      </c>
      <c r="K141" s="89">
        <v>0</v>
      </c>
    </row>
    <row r="142" spans="1:11" s="85" customFormat="1" ht="15.75" x14ac:dyDescent="0.25">
      <c r="A142" s="7" t="s">
        <v>20</v>
      </c>
      <c r="B142" s="7">
        <f t="shared" si="2"/>
        <v>50</v>
      </c>
      <c r="C142" s="100" t="s">
        <v>60</v>
      </c>
      <c r="D142" s="38">
        <v>5</v>
      </c>
      <c r="E142" s="84">
        <f>229/1000</f>
        <v>0.22900000000000001</v>
      </c>
      <c r="F142" s="38">
        <v>2</v>
      </c>
      <c r="G142" s="84">
        <f>52/1000</f>
        <v>5.1999999999999998E-2</v>
      </c>
      <c r="H142" s="8">
        <v>2</v>
      </c>
      <c r="I142" s="93">
        <f>23/1000</f>
        <v>2.3E-2</v>
      </c>
      <c r="J142" s="8">
        <v>1</v>
      </c>
      <c r="K142" s="89">
        <f>15/1000</f>
        <v>1.4999999999999999E-2</v>
      </c>
    </row>
    <row r="143" spans="1:11" s="85" customFormat="1" ht="15.75" x14ac:dyDescent="0.25">
      <c r="A143" s="7" t="s">
        <v>20</v>
      </c>
      <c r="B143" s="7">
        <f t="shared" si="2"/>
        <v>51</v>
      </c>
      <c r="C143" s="100" t="s">
        <v>61</v>
      </c>
      <c r="D143" s="38">
        <f>2+1</f>
        <v>3</v>
      </c>
      <c r="E143" s="84">
        <f>564/1000</f>
        <v>0.56399999999999995</v>
      </c>
      <c r="F143" s="38">
        <f>4+3+1</f>
        <v>8</v>
      </c>
      <c r="G143" s="84">
        <f>(46+27+15)/1000</f>
        <v>8.7999999999999995E-2</v>
      </c>
      <c r="H143" s="8">
        <v>2</v>
      </c>
      <c r="I143" s="93">
        <f>27/1000</f>
        <v>2.7E-2</v>
      </c>
      <c r="J143" s="8">
        <v>3</v>
      </c>
      <c r="K143" s="89">
        <f>3698/1000</f>
        <v>3.698</v>
      </c>
    </row>
    <row r="144" spans="1:11" s="85" customFormat="1" ht="15.75" x14ac:dyDescent="0.25">
      <c r="A144" s="7" t="s">
        <v>20</v>
      </c>
      <c r="B144" s="7">
        <f t="shared" si="2"/>
        <v>52</v>
      </c>
      <c r="C144" s="100" t="s">
        <v>101</v>
      </c>
      <c r="D144" s="38">
        <f>1+1</f>
        <v>2</v>
      </c>
      <c r="E144" s="61">
        <f>(15+40)/1000</f>
        <v>5.5E-2</v>
      </c>
      <c r="F144" s="38">
        <v>0</v>
      </c>
      <c r="G144" s="84">
        <v>0</v>
      </c>
      <c r="H144" s="8">
        <v>0</v>
      </c>
      <c r="I144" s="8">
        <v>0</v>
      </c>
      <c r="J144" s="8">
        <v>0</v>
      </c>
      <c r="K144" s="89">
        <v>0</v>
      </c>
    </row>
    <row r="145" spans="1:11" s="85" customFormat="1" ht="15.75" x14ac:dyDescent="0.25">
      <c r="A145" s="7" t="s">
        <v>20</v>
      </c>
      <c r="B145" s="7">
        <f t="shared" si="2"/>
        <v>53</v>
      </c>
      <c r="C145" s="100" t="s">
        <v>27</v>
      </c>
      <c r="D145" s="38">
        <v>0</v>
      </c>
      <c r="E145" s="38">
        <v>0</v>
      </c>
      <c r="F145" s="38">
        <v>1</v>
      </c>
      <c r="G145" s="84">
        <f>8/1000</f>
        <v>8.0000000000000002E-3</v>
      </c>
      <c r="H145" s="8">
        <v>1</v>
      </c>
      <c r="I145" s="8">
        <f>15/1000</f>
        <v>1.4999999999999999E-2</v>
      </c>
      <c r="J145" s="8">
        <v>0</v>
      </c>
      <c r="K145" s="89">
        <v>0</v>
      </c>
    </row>
    <row r="146" spans="1:11" s="85" customFormat="1" ht="15.75" x14ac:dyDescent="0.25">
      <c r="A146" s="7" t="s">
        <v>20</v>
      </c>
      <c r="B146" s="7">
        <f t="shared" si="2"/>
        <v>54</v>
      </c>
      <c r="C146" s="100" t="s">
        <v>30</v>
      </c>
      <c r="D146" s="38">
        <v>0</v>
      </c>
      <c r="E146" s="38">
        <v>0</v>
      </c>
      <c r="F146" s="38">
        <v>1</v>
      </c>
      <c r="G146" s="84">
        <f>95/1000</f>
        <v>9.5000000000000001E-2</v>
      </c>
      <c r="H146" s="8">
        <v>0</v>
      </c>
      <c r="I146" s="8">
        <v>0</v>
      </c>
      <c r="J146" s="8">
        <v>0</v>
      </c>
      <c r="K146" s="89">
        <v>0</v>
      </c>
    </row>
    <row r="147" spans="1:11" s="85" customFormat="1" ht="15.75" x14ac:dyDescent="0.25">
      <c r="A147" s="7" t="s">
        <v>20</v>
      </c>
      <c r="B147" s="7">
        <f t="shared" si="2"/>
        <v>55</v>
      </c>
      <c r="C147" s="100" t="s">
        <v>32</v>
      </c>
      <c r="D147" s="38">
        <v>0</v>
      </c>
      <c r="E147" s="38">
        <v>0</v>
      </c>
      <c r="F147" s="38">
        <v>2</v>
      </c>
      <c r="G147" s="84">
        <f>20.5/1000</f>
        <v>2.0500000000000001E-2</v>
      </c>
      <c r="H147" s="8">
        <v>0</v>
      </c>
      <c r="I147" s="8">
        <v>0</v>
      </c>
      <c r="J147" s="8">
        <v>0</v>
      </c>
      <c r="K147" s="89">
        <v>0</v>
      </c>
    </row>
    <row r="148" spans="1:11" s="85" customFormat="1" ht="15.75" x14ac:dyDescent="0.25">
      <c r="A148" s="7" t="s">
        <v>20</v>
      </c>
      <c r="B148" s="7">
        <f t="shared" si="2"/>
        <v>56</v>
      </c>
      <c r="C148" s="100" t="s">
        <v>34</v>
      </c>
      <c r="D148" s="38">
        <v>0</v>
      </c>
      <c r="E148" s="38">
        <v>0</v>
      </c>
      <c r="F148" s="38">
        <v>4</v>
      </c>
      <c r="G148" s="84">
        <f>60/1000</f>
        <v>0.06</v>
      </c>
      <c r="H148" s="8">
        <v>3</v>
      </c>
      <c r="I148" s="93">
        <f>35/1000</f>
        <v>3.5000000000000003E-2</v>
      </c>
      <c r="J148" s="8">
        <v>0</v>
      </c>
      <c r="K148" s="89">
        <v>0</v>
      </c>
    </row>
    <row r="149" spans="1:11" s="85" customFormat="1" ht="15.75" x14ac:dyDescent="0.25">
      <c r="A149" s="7" t="s">
        <v>20</v>
      </c>
      <c r="B149" s="7">
        <f>B148+1</f>
        <v>57</v>
      </c>
      <c r="C149" s="100" t="s">
        <v>38</v>
      </c>
      <c r="D149" s="38">
        <v>0</v>
      </c>
      <c r="E149" s="38">
        <v>0</v>
      </c>
      <c r="F149" s="38">
        <v>2</v>
      </c>
      <c r="G149" s="84">
        <f>23/1000</f>
        <v>2.3E-2</v>
      </c>
      <c r="H149" s="38">
        <v>1</v>
      </c>
      <c r="I149" s="38">
        <f>15/1000</f>
        <v>1.4999999999999999E-2</v>
      </c>
      <c r="J149" s="8">
        <v>0</v>
      </c>
      <c r="K149" s="89">
        <v>0</v>
      </c>
    </row>
    <row r="150" spans="1:11" s="104" customFormat="1" ht="15.75" x14ac:dyDescent="0.25">
      <c r="A150" s="7" t="s">
        <v>20</v>
      </c>
      <c r="B150" s="7">
        <f t="shared" ref="B150:B160" si="3">B149+1</f>
        <v>58</v>
      </c>
      <c r="C150" s="100" t="s">
        <v>40</v>
      </c>
      <c r="D150" s="38">
        <v>0</v>
      </c>
      <c r="E150" s="38">
        <v>0</v>
      </c>
      <c r="F150" s="38">
        <v>1</v>
      </c>
      <c r="G150" s="84">
        <f>4.5/1000</f>
        <v>4.4999999999999997E-3</v>
      </c>
      <c r="H150" s="38">
        <v>0</v>
      </c>
      <c r="I150" s="38">
        <v>0</v>
      </c>
      <c r="J150" s="8">
        <v>0</v>
      </c>
      <c r="K150" s="89">
        <v>0</v>
      </c>
    </row>
    <row r="151" spans="1:11" s="104" customFormat="1" ht="15.75" x14ac:dyDescent="0.25">
      <c r="A151" s="7" t="s">
        <v>20</v>
      </c>
      <c r="B151" s="7">
        <f t="shared" si="3"/>
        <v>59</v>
      </c>
      <c r="C151" s="100" t="s">
        <v>41</v>
      </c>
      <c r="D151" s="38">
        <v>0</v>
      </c>
      <c r="E151" s="38">
        <v>0</v>
      </c>
      <c r="F151" s="38">
        <v>1</v>
      </c>
      <c r="G151" s="84">
        <f>11/1000</f>
        <v>1.0999999999999999E-2</v>
      </c>
      <c r="H151" s="38">
        <v>5</v>
      </c>
      <c r="I151" s="38">
        <f>49/1000</f>
        <v>4.9000000000000002E-2</v>
      </c>
      <c r="J151" s="8">
        <v>0</v>
      </c>
      <c r="K151" s="89">
        <v>0</v>
      </c>
    </row>
    <row r="152" spans="1:11" s="104" customFormat="1" ht="15.75" x14ac:dyDescent="0.25">
      <c r="A152" s="7" t="s">
        <v>20</v>
      </c>
      <c r="B152" s="7">
        <f t="shared" si="3"/>
        <v>60</v>
      </c>
      <c r="C152" s="100" t="s">
        <v>45</v>
      </c>
      <c r="D152" s="38">
        <v>0</v>
      </c>
      <c r="E152" s="38">
        <v>0</v>
      </c>
      <c r="F152" s="38">
        <v>2</v>
      </c>
      <c r="G152" s="84">
        <f>24/1000</f>
        <v>2.4E-2</v>
      </c>
      <c r="H152" s="38">
        <v>1</v>
      </c>
      <c r="I152" s="38">
        <f>11.2/1000</f>
        <v>1.12E-2</v>
      </c>
      <c r="J152" s="8">
        <v>0</v>
      </c>
      <c r="K152" s="89">
        <v>0</v>
      </c>
    </row>
    <row r="153" spans="1:11" s="104" customFormat="1" ht="15.75" x14ac:dyDescent="0.25">
      <c r="A153" s="7" t="s">
        <v>20</v>
      </c>
      <c r="B153" s="7">
        <f t="shared" si="3"/>
        <v>61</v>
      </c>
      <c r="C153" s="100" t="s">
        <v>129</v>
      </c>
      <c r="D153" s="38">
        <v>0</v>
      </c>
      <c r="E153" s="38">
        <v>0</v>
      </c>
      <c r="F153" s="38">
        <v>1</v>
      </c>
      <c r="G153" s="84">
        <f>4.5/1000</f>
        <v>4.4999999999999997E-3</v>
      </c>
      <c r="H153" s="38">
        <v>0</v>
      </c>
      <c r="I153" s="38">
        <v>0</v>
      </c>
      <c r="J153" s="8">
        <v>0</v>
      </c>
      <c r="K153" s="89">
        <v>0</v>
      </c>
    </row>
    <row r="154" spans="1:11" s="104" customFormat="1" ht="15.75" x14ac:dyDescent="0.25">
      <c r="A154" s="7" t="s">
        <v>20</v>
      </c>
      <c r="B154" s="7">
        <f t="shared" si="3"/>
        <v>62</v>
      </c>
      <c r="C154" s="100" t="s">
        <v>130</v>
      </c>
      <c r="D154" s="38">
        <v>0</v>
      </c>
      <c r="E154" s="38">
        <v>0</v>
      </c>
      <c r="F154" s="38">
        <v>1</v>
      </c>
      <c r="G154" s="84">
        <f>60/1000</f>
        <v>0.06</v>
      </c>
      <c r="H154" s="38">
        <v>0</v>
      </c>
      <c r="I154" s="38">
        <v>0</v>
      </c>
      <c r="J154" s="8">
        <v>0</v>
      </c>
      <c r="K154" s="89">
        <v>0</v>
      </c>
    </row>
    <row r="155" spans="1:11" s="105" customFormat="1" ht="15.75" x14ac:dyDescent="0.25">
      <c r="A155" s="7" t="s">
        <v>20</v>
      </c>
      <c r="B155" s="7">
        <f t="shared" si="3"/>
        <v>63</v>
      </c>
      <c r="C155" s="100" t="s">
        <v>152</v>
      </c>
      <c r="D155" s="38">
        <v>0</v>
      </c>
      <c r="E155" s="38">
        <v>0</v>
      </c>
      <c r="F155" s="38">
        <v>0</v>
      </c>
      <c r="G155" s="38">
        <v>0</v>
      </c>
      <c r="H155" s="38">
        <v>1</v>
      </c>
      <c r="I155" s="38">
        <f>15/1000</f>
        <v>1.4999999999999999E-2</v>
      </c>
      <c r="J155" s="8">
        <v>0</v>
      </c>
      <c r="K155" s="89">
        <v>0</v>
      </c>
    </row>
    <row r="156" spans="1:11" s="105" customFormat="1" ht="15.75" x14ac:dyDescent="0.25">
      <c r="A156" s="7" t="s">
        <v>20</v>
      </c>
      <c r="B156" s="7">
        <f t="shared" si="3"/>
        <v>64</v>
      </c>
      <c r="C156" s="100" t="s">
        <v>153</v>
      </c>
      <c r="D156" s="38">
        <v>0</v>
      </c>
      <c r="E156" s="38">
        <v>0</v>
      </c>
      <c r="F156" s="38">
        <v>0</v>
      </c>
      <c r="G156" s="38">
        <v>0</v>
      </c>
      <c r="H156" s="38">
        <v>2</v>
      </c>
      <c r="I156" s="38">
        <f>30/1000</f>
        <v>0.03</v>
      </c>
      <c r="J156" s="8">
        <v>0</v>
      </c>
      <c r="K156" s="89">
        <v>0</v>
      </c>
    </row>
    <row r="157" spans="1:11" s="105" customFormat="1" ht="15.75" x14ac:dyDescent="0.25">
      <c r="A157" s="7" t="s">
        <v>20</v>
      </c>
      <c r="B157" s="7">
        <f t="shared" si="3"/>
        <v>65</v>
      </c>
      <c r="C157" s="100" t="s">
        <v>154</v>
      </c>
      <c r="D157" s="38">
        <v>0</v>
      </c>
      <c r="E157" s="38">
        <v>0</v>
      </c>
      <c r="F157" s="38">
        <v>0</v>
      </c>
      <c r="G157" s="38">
        <v>0</v>
      </c>
      <c r="H157" s="38">
        <f>1+1</f>
        <v>2</v>
      </c>
      <c r="I157" s="38">
        <f>(14+4.5)/1000</f>
        <v>1.8499999999999999E-2</v>
      </c>
      <c r="J157" s="8">
        <v>0</v>
      </c>
      <c r="K157" s="89">
        <v>0</v>
      </c>
    </row>
    <row r="158" spans="1:11" s="105" customFormat="1" ht="15.75" x14ac:dyDescent="0.25">
      <c r="A158" s="7" t="s">
        <v>20</v>
      </c>
      <c r="B158" s="7">
        <f t="shared" si="3"/>
        <v>66</v>
      </c>
      <c r="C158" s="100" t="s">
        <v>155</v>
      </c>
      <c r="D158" s="38">
        <v>0</v>
      </c>
      <c r="E158" s="38">
        <v>0</v>
      </c>
      <c r="F158" s="38">
        <v>0</v>
      </c>
      <c r="G158" s="38">
        <v>0</v>
      </c>
      <c r="H158" s="38">
        <v>1</v>
      </c>
      <c r="I158" s="38">
        <f>5/1000</f>
        <v>5.0000000000000001E-3</v>
      </c>
      <c r="J158" s="8">
        <v>0</v>
      </c>
      <c r="K158" s="89">
        <v>0</v>
      </c>
    </row>
    <row r="159" spans="1:11" s="105" customFormat="1" ht="15.75" x14ac:dyDescent="0.25">
      <c r="A159" s="7" t="s">
        <v>20</v>
      </c>
      <c r="B159" s="7">
        <f t="shared" si="3"/>
        <v>67</v>
      </c>
      <c r="C159" s="100" t="s">
        <v>156</v>
      </c>
      <c r="D159" s="38">
        <v>0</v>
      </c>
      <c r="E159" s="38">
        <v>0</v>
      </c>
      <c r="F159" s="38">
        <v>0</v>
      </c>
      <c r="G159" s="38">
        <v>0</v>
      </c>
      <c r="H159" s="38">
        <v>1</v>
      </c>
      <c r="I159" s="38">
        <f>12/1000</f>
        <v>1.2E-2</v>
      </c>
      <c r="J159" s="8">
        <v>0</v>
      </c>
      <c r="K159" s="89">
        <v>0</v>
      </c>
    </row>
    <row r="160" spans="1:11" s="105" customFormat="1" ht="15.75" x14ac:dyDescent="0.25">
      <c r="A160" s="7" t="s">
        <v>20</v>
      </c>
      <c r="B160" s="7">
        <f t="shared" si="3"/>
        <v>68</v>
      </c>
      <c r="C160" s="100" t="s">
        <v>157</v>
      </c>
      <c r="D160" s="38">
        <v>0</v>
      </c>
      <c r="E160" s="38">
        <v>0</v>
      </c>
      <c r="F160" s="38">
        <v>0</v>
      </c>
      <c r="G160" s="38">
        <v>0</v>
      </c>
      <c r="H160" s="38">
        <v>1</v>
      </c>
      <c r="I160" s="38">
        <f>3/1000</f>
        <v>3.0000000000000001E-3</v>
      </c>
      <c r="J160" s="8">
        <v>0</v>
      </c>
      <c r="K160" s="89">
        <v>0</v>
      </c>
    </row>
    <row r="161" spans="1:11" s="5" customFormat="1" x14ac:dyDescent="0.25">
      <c r="A161" s="2"/>
      <c r="B161" s="2"/>
      <c r="C161" s="2"/>
      <c r="D161" s="2"/>
      <c r="E161" s="54"/>
      <c r="F161" s="35"/>
      <c r="G161" s="71"/>
      <c r="H161" s="36"/>
      <c r="I161" s="78"/>
      <c r="J161" s="35"/>
      <c r="K161" s="58"/>
    </row>
    <row r="162" spans="1:11" x14ac:dyDescent="0.25">
      <c r="F162" s="37"/>
      <c r="G162" s="47"/>
      <c r="H162" s="37"/>
      <c r="I162" s="79"/>
      <c r="J162" s="37"/>
      <c r="K162" s="47"/>
    </row>
    <row r="163" spans="1:11" x14ac:dyDescent="0.25">
      <c r="F163" s="37"/>
      <c r="G163" s="47"/>
      <c r="H163" s="37"/>
      <c r="I163" s="79"/>
      <c r="J163" s="37"/>
      <c r="K163" s="47"/>
    </row>
    <row r="164" spans="1:11" x14ac:dyDescent="0.25">
      <c r="F164" s="37"/>
      <c r="G164" s="47"/>
      <c r="H164" s="37"/>
      <c r="I164" s="79"/>
      <c r="J164" s="37"/>
      <c r="K164" s="47"/>
    </row>
    <row r="165" spans="1:11" x14ac:dyDescent="0.25">
      <c r="F165" s="37"/>
      <c r="G165" s="47"/>
      <c r="H165" s="37"/>
      <c r="I165" s="79"/>
      <c r="J165" s="37"/>
      <c r="K165" s="47"/>
    </row>
    <row r="166" spans="1:11" x14ac:dyDescent="0.25">
      <c r="F166" s="37"/>
      <c r="G166" s="72"/>
      <c r="H166" s="37"/>
      <c r="I166" s="80"/>
      <c r="J166" s="37"/>
      <c r="K166" s="47"/>
    </row>
    <row r="167" spans="1:11" x14ac:dyDescent="0.25">
      <c r="C167" s="25"/>
      <c r="F167" s="37"/>
      <c r="G167" s="47"/>
      <c r="H167" s="37"/>
      <c r="I167" s="79"/>
      <c r="J167" s="37"/>
      <c r="K167" s="47"/>
    </row>
    <row r="168" spans="1:11" x14ac:dyDescent="0.25">
      <c r="C168" s="25"/>
      <c r="F168" s="37"/>
      <c r="G168" s="47"/>
      <c r="H168" s="37"/>
      <c r="I168" s="79"/>
      <c r="J168" s="37"/>
      <c r="K168" s="47"/>
    </row>
    <row r="169" spans="1:11" x14ac:dyDescent="0.25">
      <c r="C169" s="25"/>
      <c r="F169" s="82"/>
      <c r="G169" s="47"/>
      <c r="H169" s="37"/>
      <c r="I169" s="79"/>
      <c r="J169" s="37"/>
      <c r="K169" s="47"/>
    </row>
    <row r="170" spans="1:11" x14ac:dyDescent="0.25">
      <c r="C170" s="25"/>
      <c r="F170" s="37"/>
      <c r="G170" s="47"/>
      <c r="H170" s="37"/>
      <c r="I170" s="79"/>
      <c r="J170" s="37"/>
      <c r="K170" s="47"/>
    </row>
    <row r="171" spans="1:11" x14ac:dyDescent="0.25">
      <c r="C171" s="25"/>
      <c r="F171" s="37"/>
      <c r="G171" s="47"/>
      <c r="H171" s="37"/>
      <c r="I171" s="79"/>
      <c r="J171" s="37"/>
      <c r="K171" s="47"/>
    </row>
    <row r="172" spans="1:11" x14ac:dyDescent="0.25">
      <c r="C172" s="25"/>
      <c r="F172" s="37"/>
      <c r="G172" s="47"/>
      <c r="H172" s="37"/>
      <c r="I172" s="79"/>
      <c r="J172" s="37"/>
      <c r="K172" s="47"/>
    </row>
    <row r="173" spans="1:11" x14ac:dyDescent="0.25">
      <c r="F173" s="37"/>
      <c r="G173" s="47"/>
      <c r="H173" s="37"/>
      <c r="I173" s="79"/>
      <c r="J173" s="37"/>
      <c r="K173" s="47"/>
    </row>
  </sheetData>
  <autoFilter ref="A7:K160"/>
  <mergeCells count="7">
    <mergeCell ref="J4:K5"/>
    <mergeCell ref="H1:K1"/>
    <mergeCell ref="A4:A6"/>
    <mergeCell ref="C4:C6"/>
    <mergeCell ref="D4:E5"/>
    <mergeCell ref="F4:G5"/>
    <mergeCell ref="H4:I5"/>
  </mergeCells>
  <conditionalFormatting sqref="C140:C142 C68:C138 C66 C8:C63">
    <cfRule type="duplicateValues" dxfId="0" priority="5"/>
  </conditionalFormatting>
  <pageMargins left="0.70866141732283472" right="0.15748031496062992" top="0.31496062992125984" bottom="0.27559055118110237" header="0.31496062992125984" footer="0.31496062992125984"/>
  <pageSetup paperSize="9" fitToHeight="999" orientation="landscape" r:id="rId1"/>
  <ignoredErrors>
    <ignoredError sqref="E115 I84 G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933"/>
  <sheetViews>
    <sheetView zoomScale="70" zoomScaleNormal="70" workbookViewId="0">
      <pane ySplit="3" topLeftCell="A205" activePane="bottomLeft" state="frozen"/>
      <selection pane="bottomLeft" activeCell="H337" sqref="H337:H377"/>
    </sheetView>
  </sheetViews>
  <sheetFormatPr defaultRowHeight="15.75" x14ac:dyDescent="0.25"/>
  <cols>
    <col min="1" max="1" width="19.42578125" style="33" customWidth="1"/>
    <col min="2" max="2" width="20.7109375" style="33" customWidth="1"/>
    <col min="3" max="3" width="22.28515625" style="86" customWidth="1"/>
    <col min="4" max="4" width="20.140625" style="33" customWidth="1"/>
    <col min="5" max="5" width="19.140625" style="33" customWidth="1"/>
    <col min="6" max="6" width="22" style="33" customWidth="1"/>
    <col min="7" max="7" width="25.85546875" style="33" customWidth="1"/>
    <col min="8" max="8" width="52.42578125" style="34" customWidth="1"/>
    <col min="9" max="16384" width="9.140625" style="33"/>
  </cols>
  <sheetData>
    <row r="1" spans="1:8" ht="30" customHeight="1" x14ac:dyDescent="0.25">
      <c r="A1" s="26"/>
      <c r="B1" s="39" t="s">
        <v>680</v>
      </c>
      <c r="C1" s="109"/>
      <c r="D1" s="28"/>
      <c r="E1" s="27"/>
      <c r="F1" s="27"/>
      <c r="G1" s="27"/>
      <c r="H1" s="29" t="s">
        <v>19</v>
      </c>
    </row>
    <row r="2" spans="1:8" ht="48" customHeight="1" x14ac:dyDescent="0.25">
      <c r="A2" s="30" t="s">
        <v>0</v>
      </c>
      <c r="B2" s="30" t="s">
        <v>1</v>
      </c>
      <c r="C2" s="30" t="s">
        <v>9</v>
      </c>
      <c r="D2" s="30" t="s">
        <v>10</v>
      </c>
      <c r="E2" s="30" t="s">
        <v>11</v>
      </c>
      <c r="F2" s="30" t="s">
        <v>12</v>
      </c>
      <c r="G2" s="30" t="s">
        <v>13</v>
      </c>
      <c r="H2" s="30" t="s">
        <v>21</v>
      </c>
    </row>
    <row r="3" spans="1:8" ht="30" customHeight="1" x14ac:dyDescent="0.25">
      <c r="A3" s="26"/>
      <c r="B3" s="31">
        <v>1</v>
      </c>
      <c r="C3" s="109">
        <v>2</v>
      </c>
      <c r="D3" s="31">
        <v>3</v>
      </c>
      <c r="E3" s="31">
        <v>4</v>
      </c>
      <c r="F3" s="31">
        <v>5</v>
      </c>
      <c r="G3" s="31">
        <v>6</v>
      </c>
      <c r="H3" s="32">
        <v>7</v>
      </c>
    </row>
    <row r="4" spans="1:8" s="86" customFormat="1" ht="20.100000000000001" customHeight="1" x14ac:dyDescent="0.25">
      <c r="A4" s="114" t="s">
        <v>20</v>
      </c>
      <c r="B4" s="114">
        <v>1</v>
      </c>
      <c r="C4" s="115" t="s">
        <v>174</v>
      </c>
      <c r="D4" s="116">
        <v>41486</v>
      </c>
      <c r="E4" s="113" t="s">
        <v>634</v>
      </c>
      <c r="F4" s="117">
        <v>7</v>
      </c>
      <c r="G4" s="118">
        <v>466.1</v>
      </c>
      <c r="H4" s="115" t="s">
        <v>74</v>
      </c>
    </row>
    <row r="5" spans="1:8" s="86" customFormat="1" ht="20.100000000000001" customHeight="1" x14ac:dyDescent="0.25">
      <c r="A5" s="114" t="s">
        <v>20</v>
      </c>
      <c r="B5" s="114">
        <f>B4+1</f>
        <v>2</v>
      </c>
      <c r="C5" s="115" t="s">
        <v>175</v>
      </c>
      <c r="D5" s="116">
        <v>41472</v>
      </c>
      <c r="E5" s="113" t="s">
        <v>634</v>
      </c>
      <c r="F5" s="117">
        <v>15</v>
      </c>
      <c r="G5" s="118">
        <v>466.1</v>
      </c>
      <c r="H5" s="115" t="s">
        <v>75</v>
      </c>
    </row>
    <row r="6" spans="1:8" s="86" customFormat="1" ht="20.100000000000001" customHeight="1" x14ac:dyDescent="0.25">
      <c r="A6" s="114" t="s">
        <v>20</v>
      </c>
      <c r="B6" s="114">
        <f t="shared" ref="B6:B69" si="0">B5+1</f>
        <v>3</v>
      </c>
      <c r="C6" s="115" t="s">
        <v>176</v>
      </c>
      <c r="D6" s="116">
        <v>41459</v>
      </c>
      <c r="E6" s="113" t="s">
        <v>635</v>
      </c>
      <c r="F6" s="117">
        <v>650</v>
      </c>
      <c r="G6" s="118">
        <v>12750</v>
      </c>
      <c r="H6" s="115" t="s">
        <v>98</v>
      </c>
    </row>
    <row r="7" spans="1:8" s="86" customFormat="1" ht="20.100000000000001" customHeight="1" x14ac:dyDescent="0.25">
      <c r="A7" s="114" t="s">
        <v>20</v>
      </c>
      <c r="B7" s="114">
        <f t="shared" si="0"/>
        <v>4</v>
      </c>
      <c r="C7" s="115" t="s">
        <v>177</v>
      </c>
      <c r="D7" s="116">
        <v>41458</v>
      </c>
      <c r="E7" s="113" t="s">
        <v>634</v>
      </c>
      <c r="F7" s="117">
        <v>1.2</v>
      </c>
      <c r="G7" s="118">
        <v>466.1</v>
      </c>
      <c r="H7" s="115" t="s">
        <v>59</v>
      </c>
    </row>
    <row r="8" spans="1:8" s="86" customFormat="1" ht="20.100000000000001" customHeight="1" x14ac:dyDescent="0.25">
      <c r="A8" s="114" t="s">
        <v>20</v>
      </c>
      <c r="B8" s="114">
        <f t="shared" si="0"/>
        <v>5</v>
      </c>
      <c r="C8" s="115" t="s">
        <v>178</v>
      </c>
      <c r="D8" s="116">
        <v>41463</v>
      </c>
      <c r="E8" s="113" t="s">
        <v>634</v>
      </c>
      <c r="F8" s="117">
        <v>10</v>
      </c>
      <c r="G8" s="118">
        <v>466.1</v>
      </c>
      <c r="H8" s="115" t="s">
        <v>75</v>
      </c>
    </row>
    <row r="9" spans="1:8" s="86" customFormat="1" ht="20.100000000000001" customHeight="1" x14ac:dyDescent="0.25">
      <c r="A9" s="114" t="s">
        <v>20</v>
      </c>
      <c r="B9" s="114">
        <f t="shared" si="0"/>
        <v>6</v>
      </c>
      <c r="C9" s="115" t="s">
        <v>179</v>
      </c>
      <c r="D9" s="116">
        <v>41471</v>
      </c>
      <c r="E9" s="113" t="s">
        <v>634</v>
      </c>
      <c r="F9" s="117">
        <v>7</v>
      </c>
      <c r="G9" s="118">
        <v>466.1</v>
      </c>
      <c r="H9" s="115" t="s">
        <v>636</v>
      </c>
    </row>
    <row r="10" spans="1:8" s="86" customFormat="1" ht="20.100000000000001" customHeight="1" x14ac:dyDescent="0.25">
      <c r="A10" s="114" t="s">
        <v>20</v>
      </c>
      <c r="B10" s="114">
        <f t="shared" si="0"/>
        <v>7</v>
      </c>
      <c r="C10" s="115" t="s">
        <v>180</v>
      </c>
      <c r="D10" s="116">
        <v>41463</v>
      </c>
      <c r="E10" s="113" t="s">
        <v>634</v>
      </c>
      <c r="F10" s="117">
        <v>12</v>
      </c>
      <c r="G10" s="118">
        <v>466.1</v>
      </c>
      <c r="H10" s="115" t="s">
        <v>637</v>
      </c>
    </row>
    <row r="11" spans="1:8" s="86" customFormat="1" ht="20.100000000000001" customHeight="1" x14ac:dyDescent="0.25">
      <c r="A11" s="114" t="s">
        <v>20</v>
      </c>
      <c r="B11" s="114">
        <f t="shared" si="0"/>
        <v>8</v>
      </c>
      <c r="C11" s="115" t="s">
        <v>181</v>
      </c>
      <c r="D11" s="116">
        <v>41481</v>
      </c>
      <c r="E11" s="113" t="s">
        <v>634</v>
      </c>
      <c r="F11" s="117">
        <v>14</v>
      </c>
      <c r="G11" s="118">
        <v>466.1</v>
      </c>
      <c r="H11" s="115" t="s">
        <v>42</v>
      </c>
    </row>
    <row r="12" spans="1:8" s="86" customFormat="1" ht="20.100000000000001" customHeight="1" x14ac:dyDescent="0.25">
      <c r="A12" s="114" t="s">
        <v>20</v>
      </c>
      <c r="B12" s="114">
        <f t="shared" si="0"/>
        <v>9</v>
      </c>
      <c r="C12" s="115" t="s">
        <v>182</v>
      </c>
      <c r="D12" s="116">
        <v>41457</v>
      </c>
      <c r="E12" s="113" t="s">
        <v>634</v>
      </c>
      <c r="F12" s="117">
        <v>7</v>
      </c>
      <c r="G12" s="118">
        <v>466.1</v>
      </c>
      <c r="H12" s="115" t="s">
        <v>46</v>
      </c>
    </row>
    <row r="13" spans="1:8" s="86" customFormat="1" ht="20.100000000000001" customHeight="1" x14ac:dyDescent="0.25">
      <c r="A13" s="114" t="s">
        <v>20</v>
      </c>
      <c r="B13" s="114">
        <f t="shared" si="0"/>
        <v>10</v>
      </c>
      <c r="C13" s="115" t="s">
        <v>183</v>
      </c>
      <c r="D13" s="116">
        <v>41458</v>
      </c>
      <c r="E13" s="113" t="s">
        <v>634</v>
      </c>
      <c r="F13" s="117">
        <v>12</v>
      </c>
      <c r="G13" s="118">
        <v>466.1</v>
      </c>
      <c r="H13" s="115" t="s">
        <v>25</v>
      </c>
    </row>
    <row r="14" spans="1:8" s="86" customFormat="1" ht="20.100000000000001" customHeight="1" x14ac:dyDescent="0.25">
      <c r="A14" s="114" t="s">
        <v>20</v>
      </c>
      <c r="B14" s="114">
        <f t="shared" si="0"/>
        <v>11</v>
      </c>
      <c r="C14" s="115" t="s">
        <v>184</v>
      </c>
      <c r="D14" s="116">
        <v>41457</v>
      </c>
      <c r="E14" s="113" t="s">
        <v>634</v>
      </c>
      <c r="F14" s="117">
        <v>14</v>
      </c>
      <c r="G14" s="118">
        <v>466.1</v>
      </c>
      <c r="H14" s="115" t="s">
        <v>42</v>
      </c>
    </row>
    <row r="15" spans="1:8" s="86" customFormat="1" ht="20.100000000000001" customHeight="1" x14ac:dyDescent="0.25">
      <c r="A15" s="114" t="s">
        <v>20</v>
      </c>
      <c r="B15" s="114">
        <f t="shared" si="0"/>
        <v>12</v>
      </c>
      <c r="C15" s="115" t="s">
        <v>185</v>
      </c>
      <c r="D15" s="116">
        <v>41457</v>
      </c>
      <c r="E15" s="113" t="s">
        <v>634</v>
      </c>
      <c r="F15" s="117">
        <v>14</v>
      </c>
      <c r="G15" s="118">
        <v>466.1</v>
      </c>
      <c r="H15" s="115" t="s">
        <v>42</v>
      </c>
    </row>
    <row r="16" spans="1:8" s="86" customFormat="1" ht="20.100000000000001" customHeight="1" x14ac:dyDescent="0.25">
      <c r="A16" s="114" t="s">
        <v>20</v>
      </c>
      <c r="B16" s="114">
        <f t="shared" si="0"/>
        <v>13</v>
      </c>
      <c r="C16" s="115" t="s">
        <v>186</v>
      </c>
      <c r="D16" s="116">
        <v>41479</v>
      </c>
      <c r="E16" s="113" t="s">
        <v>634</v>
      </c>
      <c r="F16" s="117">
        <v>15</v>
      </c>
      <c r="G16" s="118">
        <v>466.1</v>
      </c>
      <c r="H16" s="115" t="s">
        <v>74</v>
      </c>
    </row>
    <row r="17" spans="1:8" s="86" customFormat="1" ht="20.100000000000001" customHeight="1" x14ac:dyDescent="0.25">
      <c r="A17" s="114" t="s">
        <v>20</v>
      </c>
      <c r="B17" s="114">
        <f t="shared" si="0"/>
        <v>14</v>
      </c>
      <c r="C17" s="115" t="s">
        <v>187</v>
      </c>
      <c r="D17" s="116">
        <v>41465</v>
      </c>
      <c r="E17" s="113" t="s">
        <v>635</v>
      </c>
      <c r="F17" s="117">
        <v>97</v>
      </c>
      <c r="G17" s="118">
        <v>5723</v>
      </c>
      <c r="H17" s="115" t="s">
        <v>59</v>
      </c>
    </row>
    <row r="18" spans="1:8" s="86" customFormat="1" ht="20.100000000000001" customHeight="1" x14ac:dyDescent="0.25">
      <c r="A18" s="114" t="s">
        <v>20</v>
      </c>
      <c r="B18" s="114">
        <f t="shared" si="0"/>
        <v>15</v>
      </c>
      <c r="C18" s="115" t="s">
        <v>188</v>
      </c>
      <c r="D18" s="116">
        <v>41466</v>
      </c>
      <c r="E18" s="113" t="s">
        <v>634</v>
      </c>
      <c r="F18" s="117">
        <v>10</v>
      </c>
      <c r="G18" s="118">
        <v>466.1</v>
      </c>
      <c r="H18" s="115" t="s">
        <v>75</v>
      </c>
    </row>
    <row r="19" spans="1:8" s="86" customFormat="1" ht="20.100000000000001" customHeight="1" x14ac:dyDescent="0.25">
      <c r="A19" s="114" t="s">
        <v>20</v>
      </c>
      <c r="B19" s="114">
        <f t="shared" si="0"/>
        <v>16</v>
      </c>
      <c r="C19" s="115" t="s">
        <v>189</v>
      </c>
      <c r="D19" s="116">
        <v>41470</v>
      </c>
      <c r="E19" s="113" t="s">
        <v>634</v>
      </c>
      <c r="F19" s="117">
        <v>15</v>
      </c>
      <c r="G19" s="118">
        <v>466.1</v>
      </c>
      <c r="H19" s="115" t="s">
        <v>64</v>
      </c>
    </row>
    <row r="20" spans="1:8" s="86" customFormat="1" ht="20.100000000000001" customHeight="1" x14ac:dyDescent="0.25">
      <c r="A20" s="114" t="s">
        <v>20</v>
      </c>
      <c r="B20" s="114">
        <f t="shared" si="0"/>
        <v>17</v>
      </c>
      <c r="C20" s="115" t="s">
        <v>190</v>
      </c>
      <c r="D20" s="116">
        <v>41458</v>
      </c>
      <c r="E20" s="113" t="s">
        <v>634</v>
      </c>
      <c r="F20" s="117">
        <v>15</v>
      </c>
      <c r="G20" s="118">
        <v>466.1</v>
      </c>
      <c r="H20" s="115" t="s">
        <v>72</v>
      </c>
    </row>
    <row r="21" spans="1:8" s="86" customFormat="1" ht="20.100000000000001" customHeight="1" x14ac:dyDescent="0.25">
      <c r="A21" s="114" t="s">
        <v>20</v>
      </c>
      <c r="B21" s="114">
        <f t="shared" si="0"/>
        <v>18</v>
      </c>
      <c r="C21" s="115" t="s">
        <v>191</v>
      </c>
      <c r="D21" s="116">
        <v>41459</v>
      </c>
      <c r="E21" s="113" t="s">
        <v>635</v>
      </c>
      <c r="F21" s="117">
        <v>580</v>
      </c>
      <c r="G21" s="118">
        <v>18823417.699999999</v>
      </c>
      <c r="H21" s="115" t="s">
        <v>638</v>
      </c>
    </row>
    <row r="22" spans="1:8" s="86" customFormat="1" ht="20.100000000000001" customHeight="1" x14ac:dyDescent="0.25">
      <c r="A22" s="114" t="s">
        <v>20</v>
      </c>
      <c r="B22" s="114">
        <f t="shared" si="0"/>
        <v>19</v>
      </c>
      <c r="C22" s="115" t="s">
        <v>192</v>
      </c>
      <c r="D22" s="116">
        <v>41457</v>
      </c>
      <c r="E22" s="113" t="s">
        <v>634</v>
      </c>
      <c r="F22" s="117">
        <v>15</v>
      </c>
      <c r="G22" s="118">
        <v>466.1</v>
      </c>
      <c r="H22" s="115" t="s">
        <v>26</v>
      </c>
    </row>
    <row r="23" spans="1:8" s="86" customFormat="1" ht="20.100000000000001" customHeight="1" x14ac:dyDescent="0.25">
      <c r="A23" s="114" t="s">
        <v>20</v>
      </c>
      <c r="B23" s="114">
        <f t="shared" si="0"/>
        <v>20</v>
      </c>
      <c r="C23" s="115" t="s">
        <v>193</v>
      </c>
      <c r="D23" s="116">
        <v>41457</v>
      </c>
      <c r="E23" s="113" t="s">
        <v>634</v>
      </c>
      <c r="F23" s="117">
        <v>15</v>
      </c>
      <c r="G23" s="118">
        <v>466.1</v>
      </c>
      <c r="H23" s="115" t="s">
        <v>26</v>
      </c>
    </row>
    <row r="24" spans="1:8" s="86" customFormat="1" ht="20.100000000000001" customHeight="1" x14ac:dyDescent="0.25">
      <c r="A24" s="114" t="s">
        <v>20</v>
      </c>
      <c r="B24" s="114">
        <f t="shared" si="0"/>
        <v>21</v>
      </c>
      <c r="C24" s="115" t="s">
        <v>194</v>
      </c>
      <c r="D24" s="116">
        <v>41471</v>
      </c>
      <c r="E24" s="113" t="s">
        <v>635</v>
      </c>
      <c r="F24" s="117">
        <v>510</v>
      </c>
      <c r="G24" s="118">
        <v>7650</v>
      </c>
      <c r="H24" s="115" t="s">
        <v>639</v>
      </c>
    </row>
    <row r="25" spans="1:8" s="86" customFormat="1" ht="20.100000000000001" customHeight="1" x14ac:dyDescent="0.25">
      <c r="A25" s="114" t="s">
        <v>20</v>
      </c>
      <c r="B25" s="114">
        <f t="shared" si="0"/>
        <v>22</v>
      </c>
      <c r="C25" s="115" t="s">
        <v>195</v>
      </c>
      <c r="D25" s="116">
        <v>41466</v>
      </c>
      <c r="E25" s="113" t="s">
        <v>634</v>
      </c>
      <c r="F25" s="117">
        <v>7</v>
      </c>
      <c r="G25" s="118">
        <v>466.1</v>
      </c>
      <c r="H25" s="115" t="s">
        <v>51</v>
      </c>
    </row>
    <row r="26" spans="1:8" s="86" customFormat="1" ht="20.100000000000001" customHeight="1" x14ac:dyDescent="0.25">
      <c r="A26" s="114" t="s">
        <v>20</v>
      </c>
      <c r="B26" s="114">
        <f t="shared" si="0"/>
        <v>23</v>
      </c>
      <c r="C26" s="115" t="s">
        <v>196</v>
      </c>
      <c r="D26" s="116">
        <v>41458</v>
      </c>
      <c r="E26" s="113" t="s">
        <v>634</v>
      </c>
      <c r="F26" s="117">
        <v>10</v>
      </c>
      <c r="G26" s="118">
        <v>466.1</v>
      </c>
      <c r="H26" s="115" t="s">
        <v>640</v>
      </c>
    </row>
    <row r="27" spans="1:8" s="86" customFormat="1" ht="20.100000000000001" customHeight="1" x14ac:dyDescent="0.25">
      <c r="A27" s="114" t="s">
        <v>20</v>
      </c>
      <c r="B27" s="114">
        <f t="shared" si="0"/>
        <v>24</v>
      </c>
      <c r="C27" s="115" t="s">
        <v>197</v>
      </c>
      <c r="D27" s="116">
        <v>41460</v>
      </c>
      <c r="E27" s="113" t="s">
        <v>634</v>
      </c>
      <c r="F27" s="117">
        <v>7</v>
      </c>
      <c r="G27" s="118">
        <v>466.1</v>
      </c>
      <c r="H27" s="115" t="s">
        <v>636</v>
      </c>
    </row>
    <row r="28" spans="1:8" s="86" customFormat="1" ht="20.100000000000001" customHeight="1" x14ac:dyDescent="0.25">
      <c r="A28" s="114" t="s">
        <v>20</v>
      </c>
      <c r="B28" s="114">
        <f t="shared" si="0"/>
        <v>25</v>
      </c>
      <c r="C28" s="115" t="s">
        <v>198</v>
      </c>
      <c r="D28" s="116">
        <v>41459</v>
      </c>
      <c r="E28" s="113" t="s">
        <v>634</v>
      </c>
      <c r="F28" s="117">
        <v>15</v>
      </c>
      <c r="G28" s="118">
        <v>466.1</v>
      </c>
      <c r="H28" s="115" t="s">
        <v>26</v>
      </c>
    </row>
    <row r="29" spans="1:8" s="86" customFormat="1" ht="20.100000000000001" customHeight="1" x14ac:dyDescent="0.25">
      <c r="A29" s="114" t="s">
        <v>20</v>
      </c>
      <c r="B29" s="114">
        <f t="shared" si="0"/>
        <v>26</v>
      </c>
      <c r="C29" s="115" t="s">
        <v>199</v>
      </c>
      <c r="D29" s="116">
        <v>41465</v>
      </c>
      <c r="E29" s="113" t="s">
        <v>634</v>
      </c>
      <c r="F29" s="117">
        <v>15</v>
      </c>
      <c r="G29" s="118">
        <v>466.1</v>
      </c>
      <c r="H29" s="115" t="s">
        <v>132</v>
      </c>
    </row>
    <row r="30" spans="1:8" s="86" customFormat="1" ht="20.100000000000001" customHeight="1" x14ac:dyDescent="0.25">
      <c r="A30" s="114" t="s">
        <v>20</v>
      </c>
      <c r="B30" s="114">
        <f t="shared" si="0"/>
        <v>27</v>
      </c>
      <c r="C30" s="115" t="s">
        <v>200</v>
      </c>
      <c r="D30" s="116">
        <v>41459</v>
      </c>
      <c r="E30" s="113" t="s">
        <v>634</v>
      </c>
      <c r="F30" s="117">
        <v>15</v>
      </c>
      <c r="G30" s="118">
        <v>466.1</v>
      </c>
      <c r="H30" s="115" t="s">
        <v>72</v>
      </c>
    </row>
    <row r="31" spans="1:8" s="86" customFormat="1" ht="20.100000000000001" customHeight="1" x14ac:dyDescent="0.25">
      <c r="A31" s="114" t="s">
        <v>20</v>
      </c>
      <c r="B31" s="114">
        <f t="shared" si="0"/>
        <v>28</v>
      </c>
      <c r="C31" s="115" t="s">
        <v>201</v>
      </c>
      <c r="D31" s="116">
        <v>41456</v>
      </c>
      <c r="E31" s="113" t="s">
        <v>634</v>
      </c>
      <c r="F31" s="117">
        <v>10</v>
      </c>
      <c r="G31" s="118">
        <v>466.1</v>
      </c>
      <c r="H31" s="115" t="s">
        <v>77</v>
      </c>
    </row>
    <row r="32" spans="1:8" s="86" customFormat="1" ht="20.100000000000001" customHeight="1" x14ac:dyDescent="0.25">
      <c r="A32" s="114" t="s">
        <v>20</v>
      </c>
      <c r="B32" s="114">
        <f t="shared" si="0"/>
        <v>29</v>
      </c>
      <c r="C32" s="115" t="s">
        <v>202</v>
      </c>
      <c r="D32" s="116">
        <v>41456</v>
      </c>
      <c r="E32" s="113" t="s">
        <v>634</v>
      </c>
      <c r="F32" s="117">
        <v>10</v>
      </c>
      <c r="G32" s="118">
        <v>466.1</v>
      </c>
      <c r="H32" s="115" t="s">
        <v>77</v>
      </c>
    </row>
    <row r="33" spans="1:8" s="86" customFormat="1" ht="20.100000000000001" customHeight="1" x14ac:dyDescent="0.25">
      <c r="A33" s="114" t="s">
        <v>20</v>
      </c>
      <c r="B33" s="114">
        <f t="shared" si="0"/>
        <v>30</v>
      </c>
      <c r="C33" s="115" t="s">
        <v>203</v>
      </c>
      <c r="D33" s="116">
        <v>41456</v>
      </c>
      <c r="E33" s="113" t="s">
        <v>634</v>
      </c>
      <c r="F33" s="117">
        <v>10</v>
      </c>
      <c r="G33" s="118">
        <v>466.1</v>
      </c>
      <c r="H33" s="115" t="s">
        <v>77</v>
      </c>
    </row>
    <row r="34" spans="1:8" s="86" customFormat="1" ht="20.100000000000001" customHeight="1" x14ac:dyDescent="0.25">
      <c r="A34" s="114" t="s">
        <v>20</v>
      </c>
      <c r="B34" s="114">
        <f t="shared" si="0"/>
        <v>31</v>
      </c>
      <c r="C34" s="115" t="s">
        <v>204</v>
      </c>
      <c r="D34" s="116">
        <v>41456</v>
      </c>
      <c r="E34" s="113" t="s">
        <v>634</v>
      </c>
      <c r="F34" s="117">
        <v>10</v>
      </c>
      <c r="G34" s="118">
        <v>466.1</v>
      </c>
      <c r="H34" s="115" t="s">
        <v>77</v>
      </c>
    </row>
    <row r="35" spans="1:8" s="86" customFormat="1" ht="20.100000000000001" customHeight="1" x14ac:dyDescent="0.25">
      <c r="A35" s="114" t="s">
        <v>20</v>
      </c>
      <c r="B35" s="114">
        <f t="shared" si="0"/>
        <v>32</v>
      </c>
      <c r="C35" s="115" t="s">
        <v>205</v>
      </c>
      <c r="D35" s="116">
        <v>41457</v>
      </c>
      <c r="E35" s="113" t="s">
        <v>634</v>
      </c>
      <c r="F35" s="117">
        <v>7</v>
      </c>
      <c r="G35" s="118">
        <v>466.1</v>
      </c>
      <c r="H35" s="115" t="s">
        <v>74</v>
      </c>
    </row>
    <row r="36" spans="1:8" s="86" customFormat="1" ht="20.100000000000001" customHeight="1" x14ac:dyDescent="0.25">
      <c r="A36" s="114" t="s">
        <v>20</v>
      </c>
      <c r="B36" s="114">
        <f t="shared" si="0"/>
        <v>33</v>
      </c>
      <c r="C36" s="115" t="s">
        <v>206</v>
      </c>
      <c r="D36" s="116">
        <v>41456</v>
      </c>
      <c r="E36" s="113" t="s">
        <v>634</v>
      </c>
      <c r="F36" s="117">
        <v>10</v>
      </c>
      <c r="G36" s="118">
        <v>466.1</v>
      </c>
      <c r="H36" s="115" t="s">
        <v>77</v>
      </c>
    </row>
    <row r="37" spans="1:8" s="86" customFormat="1" ht="20.100000000000001" customHeight="1" x14ac:dyDescent="0.25">
      <c r="A37" s="114" t="s">
        <v>20</v>
      </c>
      <c r="B37" s="114">
        <f t="shared" si="0"/>
        <v>34</v>
      </c>
      <c r="C37" s="115" t="s">
        <v>207</v>
      </c>
      <c r="D37" s="116">
        <v>41456</v>
      </c>
      <c r="E37" s="113" t="s">
        <v>634</v>
      </c>
      <c r="F37" s="117">
        <v>6</v>
      </c>
      <c r="G37" s="118">
        <v>466.1</v>
      </c>
      <c r="H37" s="115" t="s">
        <v>74</v>
      </c>
    </row>
    <row r="38" spans="1:8" s="86" customFormat="1" ht="20.100000000000001" customHeight="1" x14ac:dyDescent="0.25">
      <c r="A38" s="114" t="s">
        <v>20</v>
      </c>
      <c r="B38" s="114">
        <f t="shared" si="0"/>
        <v>35</v>
      </c>
      <c r="C38" s="115" t="s">
        <v>208</v>
      </c>
      <c r="D38" s="116">
        <v>41456</v>
      </c>
      <c r="E38" s="113" t="s">
        <v>634</v>
      </c>
      <c r="F38" s="117">
        <v>10</v>
      </c>
      <c r="G38" s="118">
        <v>466.1</v>
      </c>
      <c r="H38" s="115" t="s">
        <v>77</v>
      </c>
    </row>
    <row r="39" spans="1:8" s="86" customFormat="1" ht="20.100000000000001" customHeight="1" x14ac:dyDescent="0.25">
      <c r="A39" s="114" t="s">
        <v>20</v>
      </c>
      <c r="B39" s="114">
        <f t="shared" si="0"/>
        <v>36</v>
      </c>
      <c r="C39" s="115" t="s">
        <v>209</v>
      </c>
      <c r="D39" s="116">
        <v>41456</v>
      </c>
      <c r="E39" s="113" t="s">
        <v>634</v>
      </c>
      <c r="F39" s="117">
        <v>10</v>
      </c>
      <c r="G39" s="118">
        <v>466.1</v>
      </c>
      <c r="H39" s="115" t="s">
        <v>77</v>
      </c>
    </row>
    <row r="40" spans="1:8" s="86" customFormat="1" ht="20.100000000000001" customHeight="1" x14ac:dyDescent="0.25">
      <c r="A40" s="114" t="s">
        <v>20</v>
      </c>
      <c r="B40" s="114">
        <f t="shared" si="0"/>
        <v>37</v>
      </c>
      <c r="C40" s="115" t="s">
        <v>210</v>
      </c>
      <c r="D40" s="116">
        <v>41456</v>
      </c>
      <c r="E40" s="113" t="s">
        <v>634</v>
      </c>
      <c r="F40" s="117">
        <v>10</v>
      </c>
      <c r="G40" s="118">
        <v>466.1</v>
      </c>
      <c r="H40" s="115" t="s">
        <v>77</v>
      </c>
    </row>
    <row r="41" spans="1:8" s="86" customFormat="1" ht="20.100000000000001" customHeight="1" x14ac:dyDescent="0.25">
      <c r="A41" s="114" t="s">
        <v>20</v>
      </c>
      <c r="B41" s="114">
        <f t="shared" si="0"/>
        <v>38</v>
      </c>
      <c r="C41" s="115" t="s">
        <v>211</v>
      </c>
      <c r="D41" s="116">
        <v>41456</v>
      </c>
      <c r="E41" s="113" t="s">
        <v>634</v>
      </c>
      <c r="F41" s="117">
        <v>10</v>
      </c>
      <c r="G41" s="118">
        <v>466.1</v>
      </c>
      <c r="H41" s="115" t="s">
        <v>77</v>
      </c>
    </row>
    <row r="42" spans="1:8" s="86" customFormat="1" ht="20.100000000000001" customHeight="1" x14ac:dyDescent="0.25">
      <c r="A42" s="114" t="s">
        <v>20</v>
      </c>
      <c r="B42" s="114">
        <f t="shared" si="0"/>
        <v>39</v>
      </c>
      <c r="C42" s="115" t="s">
        <v>212</v>
      </c>
      <c r="D42" s="116">
        <v>41456</v>
      </c>
      <c r="E42" s="113" t="s">
        <v>634</v>
      </c>
      <c r="F42" s="117">
        <v>10</v>
      </c>
      <c r="G42" s="118">
        <v>466.1</v>
      </c>
      <c r="H42" s="115" t="s">
        <v>77</v>
      </c>
    </row>
    <row r="43" spans="1:8" s="86" customFormat="1" ht="20.100000000000001" customHeight="1" x14ac:dyDescent="0.25">
      <c r="A43" s="114" t="s">
        <v>20</v>
      </c>
      <c r="B43" s="114">
        <f t="shared" si="0"/>
        <v>40</v>
      </c>
      <c r="C43" s="115" t="s">
        <v>213</v>
      </c>
      <c r="D43" s="116">
        <v>41464</v>
      </c>
      <c r="E43" s="113" t="s">
        <v>634</v>
      </c>
      <c r="F43" s="117">
        <v>15</v>
      </c>
      <c r="G43" s="118">
        <v>466.1</v>
      </c>
      <c r="H43" s="115" t="s">
        <v>636</v>
      </c>
    </row>
    <row r="44" spans="1:8" s="86" customFormat="1" ht="20.100000000000001" customHeight="1" x14ac:dyDescent="0.25">
      <c r="A44" s="114" t="s">
        <v>20</v>
      </c>
      <c r="B44" s="114">
        <f t="shared" si="0"/>
        <v>41</v>
      </c>
      <c r="C44" s="115" t="s">
        <v>214</v>
      </c>
      <c r="D44" s="116">
        <v>41464</v>
      </c>
      <c r="E44" s="113" t="s">
        <v>634</v>
      </c>
      <c r="F44" s="117">
        <v>10</v>
      </c>
      <c r="G44" s="118">
        <v>466.1</v>
      </c>
      <c r="H44" s="115" t="s">
        <v>26</v>
      </c>
    </row>
    <row r="45" spans="1:8" s="86" customFormat="1" ht="20.100000000000001" customHeight="1" x14ac:dyDescent="0.25">
      <c r="A45" s="114" t="s">
        <v>20</v>
      </c>
      <c r="B45" s="114">
        <f t="shared" si="0"/>
        <v>42</v>
      </c>
      <c r="C45" s="115" t="s">
        <v>215</v>
      </c>
      <c r="D45" s="116">
        <v>41463</v>
      </c>
      <c r="E45" s="113" t="s">
        <v>634</v>
      </c>
      <c r="F45" s="117">
        <v>8</v>
      </c>
      <c r="G45" s="118">
        <v>466.1</v>
      </c>
      <c r="H45" s="115" t="s">
        <v>42</v>
      </c>
    </row>
    <row r="46" spans="1:8" s="86" customFormat="1" ht="20.100000000000001" customHeight="1" x14ac:dyDescent="0.25">
      <c r="A46" s="114" t="s">
        <v>20</v>
      </c>
      <c r="B46" s="114">
        <f t="shared" si="0"/>
        <v>43</v>
      </c>
      <c r="C46" s="115" t="s">
        <v>216</v>
      </c>
      <c r="D46" s="116">
        <v>41464</v>
      </c>
      <c r="E46" s="113" t="s">
        <v>634</v>
      </c>
      <c r="F46" s="117">
        <v>7</v>
      </c>
      <c r="G46" s="118">
        <v>466.1</v>
      </c>
      <c r="H46" s="115" t="s">
        <v>641</v>
      </c>
    </row>
    <row r="47" spans="1:8" s="86" customFormat="1" ht="20.100000000000001" customHeight="1" x14ac:dyDescent="0.25">
      <c r="A47" s="114" t="s">
        <v>20</v>
      </c>
      <c r="B47" s="114">
        <f t="shared" si="0"/>
        <v>44</v>
      </c>
      <c r="C47" s="115" t="s">
        <v>217</v>
      </c>
      <c r="D47" s="116">
        <v>41456</v>
      </c>
      <c r="E47" s="113" t="s">
        <v>634</v>
      </c>
      <c r="F47" s="117">
        <v>10</v>
      </c>
      <c r="G47" s="118">
        <v>466.1</v>
      </c>
      <c r="H47" s="115" t="s">
        <v>68</v>
      </c>
    </row>
    <row r="48" spans="1:8" s="86" customFormat="1" ht="20.100000000000001" customHeight="1" x14ac:dyDescent="0.25">
      <c r="A48" s="114" t="s">
        <v>20</v>
      </c>
      <c r="B48" s="114">
        <f t="shared" si="0"/>
        <v>45</v>
      </c>
      <c r="C48" s="115" t="s">
        <v>218</v>
      </c>
      <c r="D48" s="116">
        <v>41458</v>
      </c>
      <c r="E48" s="113" t="s">
        <v>634</v>
      </c>
      <c r="F48" s="117">
        <v>7</v>
      </c>
      <c r="G48" s="118">
        <v>466.1</v>
      </c>
      <c r="H48" s="115" t="s">
        <v>64</v>
      </c>
    </row>
    <row r="49" spans="1:8" s="86" customFormat="1" ht="20.100000000000001" customHeight="1" x14ac:dyDescent="0.25">
      <c r="A49" s="114" t="s">
        <v>20</v>
      </c>
      <c r="B49" s="114">
        <f t="shared" si="0"/>
        <v>46</v>
      </c>
      <c r="C49" s="115" t="s">
        <v>219</v>
      </c>
      <c r="D49" s="116">
        <v>41484</v>
      </c>
      <c r="E49" s="113" t="s">
        <v>634</v>
      </c>
      <c r="F49" s="117">
        <v>23</v>
      </c>
      <c r="G49" s="118">
        <v>5796</v>
      </c>
      <c r="H49" s="115" t="s">
        <v>62</v>
      </c>
    </row>
    <row r="50" spans="1:8" s="86" customFormat="1" ht="20.100000000000001" customHeight="1" x14ac:dyDescent="0.25">
      <c r="A50" s="114" t="s">
        <v>20</v>
      </c>
      <c r="B50" s="114">
        <f t="shared" si="0"/>
        <v>47</v>
      </c>
      <c r="C50" s="115" t="s">
        <v>220</v>
      </c>
      <c r="D50" s="116">
        <v>41458</v>
      </c>
      <c r="E50" s="113" t="s">
        <v>634</v>
      </c>
      <c r="F50" s="117">
        <v>5</v>
      </c>
      <c r="G50" s="118">
        <v>466.1</v>
      </c>
      <c r="H50" s="115" t="s">
        <v>74</v>
      </c>
    </row>
    <row r="51" spans="1:8" s="86" customFormat="1" ht="20.100000000000001" customHeight="1" x14ac:dyDescent="0.25">
      <c r="A51" s="114" t="s">
        <v>20</v>
      </c>
      <c r="B51" s="114">
        <f t="shared" si="0"/>
        <v>48</v>
      </c>
      <c r="C51" s="115" t="s">
        <v>221</v>
      </c>
      <c r="D51" s="116">
        <v>41458</v>
      </c>
      <c r="E51" s="113" t="s">
        <v>634</v>
      </c>
      <c r="F51" s="117">
        <v>15</v>
      </c>
      <c r="G51" s="118">
        <v>466.1</v>
      </c>
      <c r="H51" s="115" t="s">
        <v>69</v>
      </c>
    </row>
    <row r="52" spans="1:8" s="86" customFormat="1" ht="20.100000000000001" customHeight="1" x14ac:dyDescent="0.25">
      <c r="A52" s="114" t="s">
        <v>20</v>
      </c>
      <c r="B52" s="114">
        <f t="shared" si="0"/>
        <v>49</v>
      </c>
      <c r="C52" s="115" t="s">
        <v>222</v>
      </c>
      <c r="D52" s="116">
        <v>41458</v>
      </c>
      <c r="E52" s="113" t="s">
        <v>634</v>
      </c>
      <c r="F52" s="117">
        <v>15</v>
      </c>
      <c r="G52" s="118">
        <v>466.1</v>
      </c>
      <c r="H52" s="115" t="s">
        <v>69</v>
      </c>
    </row>
    <row r="53" spans="1:8" s="86" customFormat="1" ht="20.100000000000001" customHeight="1" x14ac:dyDescent="0.25">
      <c r="A53" s="114" t="s">
        <v>20</v>
      </c>
      <c r="B53" s="114">
        <f t="shared" si="0"/>
        <v>50</v>
      </c>
      <c r="C53" s="115" t="s">
        <v>223</v>
      </c>
      <c r="D53" s="116">
        <v>41464</v>
      </c>
      <c r="E53" s="113" t="s">
        <v>634</v>
      </c>
      <c r="F53" s="117">
        <v>15</v>
      </c>
      <c r="G53" s="118">
        <v>466.1</v>
      </c>
      <c r="H53" s="115" t="s">
        <v>642</v>
      </c>
    </row>
    <row r="54" spans="1:8" s="86" customFormat="1" ht="20.100000000000001" customHeight="1" x14ac:dyDescent="0.25">
      <c r="A54" s="114" t="s">
        <v>20</v>
      </c>
      <c r="B54" s="114">
        <f t="shared" si="0"/>
        <v>51</v>
      </c>
      <c r="C54" s="115" t="s">
        <v>224</v>
      </c>
      <c r="D54" s="116">
        <v>41458</v>
      </c>
      <c r="E54" s="113" t="s">
        <v>634</v>
      </c>
      <c r="F54" s="117">
        <v>12</v>
      </c>
      <c r="G54" s="118">
        <v>466.1</v>
      </c>
      <c r="H54" s="115" t="s">
        <v>636</v>
      </c>
    </row>
    <row r="55" spans="1:8" s="86" customFormat="1" ht="20.100000000000001" customHeight="1" x14ac:dyDescent="0.25">
      <c r="A55" s="114" t="s">
        <v>20</v>
      </c>
      <c r="B55" s="114">
        <f t="shared" si="0"/>
        <v>52</v>
      </c>
      <c r="C55" s="115" t="s">
        <v>225</v>
      </c>
      <c r="D55" s="116">
        <v>41459</v>
      </c>
      <c r="E55" s="113" t="s">
        <v>634</v>
      </c>
      <c r="F55" s="117">
        <v>15</v>
      </c>
      <c r="G55" s="118">
        <v>466.1</v>
      </c>
      <c r="H55" s="115" t="s">
        <v>643</v>
      </c>
    </row>
    <row r="56" spans="1:8" s="86" customFormat="1" ht="20.100000000000001" customHeight="1" x14ac:dyDescent="0.25">
      <c r="A56" s="114" t="s">
        <v>20</v>
      </c>
      <c r="B56" s="114">
        <f t="shared" si="0"/>
        <v>53</v>
      </c>
      <c r="C56" s="115" t="s">
        <v>226</v>
      </c>
      <c r="D56" s="116">
        <v>41459</v>
      </c>
      <c r="E56" s="113" t="s">
        <v>634</v>
      </c>
      <c r="F56" s="117">
        <v>7</v>
      </c>
      <c r="G56" s="118">
        <v>466.1</v>
      </c>
      <c r="H56" s="115" t="s">
        <v>64</v>
      </c>
    </row>
    <row r="57" spans="1:8" s="86" customFormat="1" ht="20.100000000000001" customHeight="1" x14ac:dyDescent="0.25">
      <c r="A57" s="114" t="s">
        <v>20</v>
      </c>
      <c r="B57" s="114">
        <f t="shared" si="0"/>
        <v>54</v>
      </c>
      <c r="C57" s="115" t="s">
        <v>227</v>
      </c>
      <c r="D57" s="116">
        <v>41464</v>
      </c>
      <c r="E57" s="113" t="s">
        <v>634</v>
      </c>
      <c r="F57" s="117">
        <v>15</v>
      </c>
      <c r="G57" s="118">
        <v>466.1</v>
      </c>
      <c r="H57" s="115" t="s">
        <v>636</v>
      </c>
    </row>
    <row r="58" spans="1:8" s="86" customFormat="1" ht="20.100000000000001" customHeight="1" x14ac:dyDescent="0.25">
      <c r="A58" s="114" t="s">
        <v>20</v>
      </c>
      <c r="B58" s="114">
        <f t="shared" si="0"/>
        <v>55</v>
      </c>
      <c r="C58" s="115" t="s">
        <v>228</v>
      </c>
      <c r="D58" s="116">
        <v>41467</v>
      </c>
      <c r="E58" s="113" t="s">
        <v>634</v>
      </c>
      <c r="F58" s="117">
        <v>7</v>
      </c>
      <c r="G58" s="118">
        <v>466.1</v>
      </c>
      <c r="H58" s="115" t="s">
        <v>64</v>
      </c>
    </row>
    <row r="59" spans="1:8" s="86" customFormat="1" ht="20.100000000000001" customHeight="1" x14ac:dyDescent="0.25">
      <c r="A59" s="114" t="s">
        <v>20</v>
      </c>
      <c r="B59" s="114">
        <f t="shared" si="0"/>
        <v>56</v>
      </c>
      <c r="C59" s="115" t="s">
        <v>229</v>
      </c>
      <c r="D59" s="116">
        <v>41484</v>
      </c>
      <c r="E59" s="113" t="s">
        <v>634</v>
      </c>
      <c r="F59" s="117">
        <v>0.5</v>
      </c>
      <c r="G59" s="118">
        <v>466.1</v>
      </c>
      <c r="H59" s="115" t="s">
        <v>136</v>
      </c>
    </row>
    <row r="60" spans="1:8" s="86" customFormat="1" ht="20.100000000000001" customHeight="1" x14ac:dyDescent="0.25">
      <c r="A60" s="114" t="s">
        <v>20</v>
      </c>
      <c r="B60" s="114">
        <f t="shared" si="0"/>
        <v>57</v>
      </c>
      <c r="C60" s="115" t="s">
        <v>230</v>
      </c>
      <c r="D60" s="116">
        <v>41459</v>
      </c>
      <c r="E60" s="113" t="s">
        <v>634</v>
      </c>
      <c r="F60" s="117">
        <v>7</v>
      </c>
      <c r="G60" s="118">
        <v>466.1</v>
      </c>
      <c r="H60" s="115" t="s">
        <v>644</v>
      </c>
    </row>
    <row r="61" spans="1:8" s="86" customFormat="1" ht="20.100000000000001" customHeight="1" x14ac:dyDescent="0.25">
      <c r="A61" s="114" t="s">
        <v>20</v>
      </c>
      <c r="B61" s="114">
        <f t="shared" si="0"/>
        <v>58</v>
      </c>
      <c r="C61" s="115" t="s">
        <v>231</v>
      </c>
      <c r="D61" s="116">
        <v>41457</v>
      </c>
      <c r="E61" s="113" t="s">
        <v>634</v>
      </c>
      <c r="F61" s="117">
        <v>7</v>
      </c>
      <c r="G61" s="118">
        <v>466.1</v>
      </c>
      <c r="H61" s="115" t="s">
        <v>47</v>
      </c>
    </row>
    <row r="62" spans="1:8" s="86" customFormat="1" ht="20.100000000000001" customHeight="1" x14ac:dyDescent="0.25">
      <c r="A62" s="114" t="s">
        <v>20</v>
      </c>
      <c r="B62" s="114">
        <f t="shared" si="0"/>
        <v>59</v>
      </c>
      <c r="C62" s="115" t="s">
        <v>232</v>
      </c>
      <c r="D62" s="116">
        <v>41458</v>
      </c>
      <c r="E62" s="113" t="s">
        <v>634</v>
      </c>
      <c r="F62" s="117">
        <v>5</v>
      </c>
      <c r="G62" s="118">
        <v>466.1</v>
      </c>
      <c r="H62" s="115" t="s">
        <v>645</v>
      </c>
    </row>
    <row r="63" spans="1:8" s="86" customFormat="1" ht="20.100000000000001" customHeight="1" x14ac:dyDescent="0.25">
      <c r="A63" s="114" t="s">
        <v>20</v>
      </c>
      <c r="B63" s="114">
        <f t="shared" si="0"/>
        <v>60</v>
      </c>
      <c r="C63" s="115" t="s">
        <v>233</v>
      </c>
      <c r="D63" s="116">
        <v>41464</v>
      </c>
      <c r="E63" s="113" t="s">
        <v>634</v>
      </c>
      <c r="F63" s="117">
        <v>7</v>
      </c>
      <c r="G63" s="118">
        <v>466.1</v>
      </c>
      <c r="H63" s="115" t="s">
        <v>64</v>
      </c>
    </row>
    <row r="64" spans="1:8" s="86" customFormat="1" ht="20.100000000000001" customHeight="1" x14ac:dyDescent="0.25">
      <c r="A64" s="114" t="s">
        <v>20</v>
      </c>
      <c r="B64" s="114">
        <f t="shared" si="0"/>
        <v>61</v>
      </c>
      <c r="C64" s="115" t="s">
        <v>234</v>
      </c>
      <c r="D64" s="116">
        <v>41463</v>
      </c>
      <c r="E64" s="113" t="s">
        <v>634</v>
      </c>
      <c r="F64" s="117">
        <v>10</v>
      </c>
      <c r="G64" s="118">
        <v>466.1</v>
      </c>
      <c r="H64" s="115" t="s">
        <v>90</v>
      </c>
    </row>
    <row r="65" spans="1:8" s="86" customFormat="1" ht="20.100000000000001" customHeight="1" x14ac:dyDescent="0.25">
      <c r="A65" s="114" t="s">
        <v>20</v>
      </c>
      <c r="B65" s="114">
        <f t="shared" si="0"/>
        <v>62</v>
      </c>
      <c r="C65" s="115" t="s">
        <v>235</v>
      </c>
      <c r="D65" s="116">
        <v>41486</v>
      </c>
      <c r="E65" s="113" t="s">
        <v>634</v>
      </c>
      <c r="F65" s="117">
        <v>10</v>
      </c>
      <c r="G65" s="118">
        <v>466.1</v>
      </c>
      <c r="H65" s="115" t="s">
        <v>641</v>
      </c>
    </row>
    <row r="66" spans="1:8" s="86" customFormat="1" ht="20.100000000000001" customHeight="1" x14ac:dyDescent="0.25">
      <c r="A66" s="114" t="s">
        <v>20</v>
      </c>
      <c r="B66" s="114">
        <f t="shared" si="0"/>
        <v>63</v>
      </c>
      <c r="C66" s="115" t="s">
        <v>236</v>
      </c>
      <c r="D66" s="116">
        <v>41486</v>
      </c>
      <c r="E66" s="113" t="s">
        <v>634</v>
      </c>
      <c r="F66" s="117">
        <v>10</v>
      </c>
      <c r="G66" s="118">
        <v>466.1</v>
      </c>
      <c r="H66" s="115" t="s">
        <v>641</v>
      </c>
    </row>
    <row r="67" spans="1:8" s="86" customFormat="1" ht="20.100000000000001" customHeight="1" x14ac:dyDescent="0.25">
      <c r="A67" s="114" t="s">
        <v>20</v>
      </c>
      <c r="B67" s="114">
        <f t="shared" si="0"/>
        <v>64</v>
      </c>
      <c r="C67" s="115" t="s">
        <v>237</v>
      </c>
      <c r="D67" s="116">
        <v>41463</v>
      </c>
      <c r="E67" s="113" t="s">
        <v>634</v>
      </c>
      <c r="F67" s="117">
        <v>7</v>
      </c>
      <c r="G67" s="118">
        <v>466.1</v>
      </c>
      <c r="H67" s="115" t="s">
        <v>636</v>
      </c>
    </row>
    <row r="68" spans="1:8" s="86" customFormat="1" ht="20.100000000000001" customHeight="1" x14ac:dyDescent="0.25">
      <c r="A68" s="114" t="s">
        <v>20</v>
      </c>
      <c r="B68" s="114">
        <f t="shared" si="0"/>
        <v>65</v>
      </c>
      <c r="C68" s="115" t="s">
        <v>238</v>
      </c>
      <c r="D68" s="116">
        <v>41460</v>
      </c>
      <c r="E68" s="113" t="s">
        <v>634</v>
      </c>
      <c r="F68" s="117">
        <v>10</v>
      </c>
      <c r="G68" s="118">
        <v>466.1</v>
      </c>
      <c r="H68" s="115" t="s">
        <v>64</v>
      </c>
    </row>
    <row r="69" spans="1:8" s="86" customFormat="1" ht="20.100000000000001" customHeight="1" x14ac:dyDescent="0.25">
      <c r="A69" s="114" t="s">
        <v>20</v>
      </c>
      <c r="B69" s="114">
        <f t="shared" si="0"/>
        <v>66</v>
      </c>
      <c r="C69" s="115" t="s">
        <v>239</v>
      </c>
      <c r="D69" s="116">
        <v>41463</v>
      </c>
      <c r="E69" s="113" t="s">
        <v>634</v>
      </c>
      <c r="F69" s="117">
        <v>15</v>
      </c>
      <c r="G69" s="118">
        <v>466.1</v>
      </c>
      <c r="H69" s="115" t="s">
        <v>636</v>
      </c>
    </row>
    <row r="70" spans="1:8" s="86" customFormat="1" ht="20.100000000000001" customHeight="1" x14ac:dyDescent="0.25">
      <c r="A70" s="114" t="s">
        <v>20</v>
      </c>
      <c r="B70" s="114">
        <f t="shared" ref="B70:B133" si="1">B69+1</f>
        <v>67</v>
      </c>
      <c r="C70" s="115" t="s">
        <v>240</v>
      </c>
      <c r="D70" s="116">
        <v>41463</v>
      </c>
      <c r="E70" s="113" t="s">
        <v>634</v>
      </c>
      <c r="F70" s="117">
        <v>10</v>
      </c>
      <c r="G70" s="118">
        <v>466.1</v>
      </c>
      <c r="H70" s="115" t="s">
        <v>42</v>
      </c>
    </row>
    <row r="71" spans="1:8" s="86" customFormat="1" ht="20.100000000000001" customHeight="1" x14ac:dyDescent="0.25">
      <c r="A71" s="114" t="s">
        <v>20</v>
      </c>
      <c r="B71" s="114">
        <f t="shared" si="1"/>
        <v>68</v>
      </c>
      <c r="C71" s="115" t="s">
        <v>241</v>
      </c>
      <c r="D71" s="116">
        <v>41463</v>
      </c>
      <c r="E71" s="113" t="s">
        <v>634</v>
      </c>
      <c r="F71" s="117">
        <v>15</v>
      </c>
      <c r="G71" s="118">
        <v>466.1</v>
      </c>
      <c r="H71" s="115" t="s">
        <v>69</v>
      </c>
    </row>
    <row r="72" spans="1:8" s="86" customFormat="1" ht="20.100000000000001" customHeight="1" x14ac:dyDescent="0.25">
      <c r="A72" s="114" t="s">
        <v>20</v>
      </c>
      <c r="B72" s="114">
        <f t="shared" si="1"/>
        <v>69</v>
      </c>
      <c r="C72" s="115" t="s">
        <v>242</v>
      </c>
      <c r="D72" s="116">
        <v>41463</v>
      </c>
      <c r="E72" s="113" t="s">
        <v>634</v>
      </c>
      <c r="F72" s="117">
        <v>7</v>
      </c>
      <c r="G72" s="118">
        <v>466.1</v>
      </c>
      <c r="H72" s="115" t="s">
        <v>64</v>
      </c>
    </row>
    <row r="73" spans="1:8" s="86" customFormat="1" ht="20.100000000000001" customHeight="1" x14ac:dyDescent="0.25">
      <c r="A73" s="114" t="s">
        <v>20</v>
      </c>
      <c r="B73" s="114">
        <f t="shared" si="1"/>
        <v>70</v>
      </c>
      <c r="C73" s="115" t="s">
        <v>243</v>
      </c>
      <c r="D73" s="116">
        <v>41467</v>
      </c>
      <c r="E73" s="113" t="s">
        <v>634</v>
      </c>
      <c r="F73" s="117">
        <v>7</v>
      </c>
      <c r="G73" s="118">
        <v>466.1</v>
      </c>
      <c r="H73" s="115" t="s">
        <v>64</v>
      </c>
    </row>
    <row r="74" spans="1:8" s="86" customFormat="1" ht="20.100000000000001" customHeight="1" x14ac:dyDescent="0.25">
      <c r="A74" s="114" t="s">
        <v>20</v>
      </c>
      <c r="B74" s="114">
        <f t="shared" si="1"/>
        <v>71</v>
      </c>
      <c r="C74" s="115" t="s">
        <v>244</v>
      </c>
      <c r="D74" s="116">
        <v>41467</v>
      </c>
      <c r="E74" s="113" t="s">
        <v>634</v>
      </c>
      <c r="F74" s="117">
        <v>12</v>
      </c>
      <c r="G74" s="118">
        <v>466.1</v>
      </c>
      <c r="H74" s="115" t="s">
        <v>64</v>
      </c>
    </row>
    <row r="75" spans="1:8" s="86" customFormat="1" ht="20.100000000000001" customHeight="1" x14ac:dyDescent="0.25">
      <c r="A75" s="114" t="s">
        <v>20</v>
      </c>
      <c r="B75" s="114">
        <f t="shared" si="1"/>
        <v>72</v>
      </c>
      <c r="C75" s="115" t="s">
        <v>245</v>
      </c>
      <c r="D75" s="116">
        <v>41473</v>
      </c>
      <c r="E75" s="113" t="s">
        <v>634</v>
      </c>
      <c r="F75" s="117">
        <v>15</v>
      </c>
      <c r="G75" s="118">
        <v>466.1</v>
      </c>
      <c r="H75" s="115" t="s">
        <v>70</v>
      </c>
    </row>
    <row r="76" spans="1:8" s="86" customFormat="1" ht="20.100000000000001" customHeight="1" x14ac:dyDescent="0.25">
      <c r="A76" s="114" t="s">
        <v>20</v>
      </c>
      <c r="B76" s="114">
        <f t="shared" si="1"/>
        <v>73</v>
      </c>
      <c r="C76" s="115" t="s">
        <v>246</v>
      </c>
      <c r="D76" s="116">
        <v>41470</v>
      </c>
      <c r="E76" s="113" t="s">
        <v>634</v>
      </c>
      <c r="F76" s="117">
        <v>12</v>
      </c>
      <c r="G76" s="118">
        <v>466.1</v>
      </c>
      <c r="H76" s="115" t="s">
        <v>69</v>
      </c>
    </row>
    <row r="77" spans="1:8" s="86" customFormat="1" ht="20.100000000000001" customHeight="1" x14ac:dyDescent="0.25">
      <c r="A77" s="114" t="s">
        <v>20</v>
      </c>
      <c r="B77" s="114">
        <f t="shared" si="1"/>
        <v>74</v>
      </c>
      <c r="C77" s="115" t="s">
        <v>247</v>
      </c>
      <c r="D77" s="116">
        <v>41470</v>
      </c>
      <c r="E77" s="113" t="s">
        <v>634</v>
      </c>
      <c r="F77" s="117">
        <v>12</v>
      </c>
      <c r="G77" s="118">
        <v>466.1</v>
      </c>
      <c r="H77" s="115" t="s">
        <v>646</v>
      </c>
    </row>
    <row r="78" spans="1:8" s="86" customFormat="1" ht="20.100000000000001" customHeight="1" x14ac:dyDescent="0.25">
      <c r="A78" s="114" t="s">
        <v>20</v>
      </c>
      <c r="B78" s="114">
        <f t="shared" si="1"/>
        <v>75</v>
      </c>
      <c r="C78" s="115" t="s">
        <v>248</v>
      </c>
      <c r="D78" s="116">
        <v>41465</v>
      </c>
      <c r="E78" s="113" t="s">
        <v>634</v>
      </c>
      <c r="F78" s="117">
        <v>12</v>
      </c>
      <c r="G78" s="118">
        <v>466.1</v>
      </c>
      <c r="H78" s="115" t="s">
        <v>72</v>
      </c>
    </row>
    <row r="79" spans="1:8" s="86" customFormat="1" ht="20.100000000000001" customHeight="1" x14ac:dyDescent="0.25">
      <c r="A79" s="114" t="s">
        <v>20</v>
      </c>
      <c r="B79" s="114">
        <f t="shared" si="1"/>
        <v>76</v>
      </c>
      <c r="C79" s="115" t="s">
        <v>249</v>
      </c>
      <c r="D79" s="116">
        <v>41463</v>
      </c>
      <c r="E79" s="113" t="s">
        <v>634</v>
      </c>
      <c r="F79" s="117">
        <v>7</v>
      </c>
      <c r="G79" s="118">
        <v>466.1</v>
      </c>
      <c r="H79" s="115" t="s">
        <v>59</v>
      </c>
    </row>
    <row r="80" spans="1:8" s="86" customFormat="1" ht="20.100000000000001" customHeight="1" x14ac:dyDescent="0.25">
      <c r="A80" s="114" t="s">
        <v>20</v>
      </c>
      <c r="B80" s="114">
        <f t="shared" si="1"/>
        <v>77</v>
      </c>
      <c r="C80" s="115" t="s">
        <v>250</v>
      </c>
      <c r="D80" s="116">
        <v>41464</v>
      </c>
      <c r="E80" s="113" t="s">
        <v>634</v>
      </c>
      <c r="F80" s="117">
        <v>7</v>
      </c>
      <c r="G80" s="118">
        <v>466.1</v>
      </c>
      <c r="H80" s="115" t="s">
        <v>59</v>
      </c>
    </row>
    <row r="81" spans="1:8" s="86" customFormat="1" ht="20.100000000000001" customHeight="1" x14ac:dyDescent="0.25">
      <c r="A81" s="114" t="s">
        <v>20</v>
      </c>
      <c r="B81" s="114">
        <f t="shared" si="1"/>
        <v>78</v>
      </c>
      <c r="C81" s="115" t="s">
        <v>251</v>
      </c>
      <c r="D81" s="116">
        <v>41470</v>
      </c>
      <c r="E81" s="113" t="s">
        <v>634</v>
      </c>
      <c r="F81" s="117">
        <v>15</v>
      </c>
      <c r="G81" s="118">
        <v>466.1</v>
      </c>
      <c r="H81" s="115" t="s">
        <v>75</v>
      </c>
    </row>
    <row r="82" spans="1:8" s="86" customFormat="1" ht="20.100000000000001" customHeight="1" x14ac:dyDescent="0.25">
      <c r="A82" s="114" t="s">
        <v>20</v>
      </c>
      <c r="B82" s="114">
        <f t="shared" si="1"/>
        <v>79</v>
      </c>
      <c r="C82" s="115" t="s">
        <v>252</v>
      </c>
      <c r="D82" s="116">
        <v>41459</v>
      </c>
      <c r="E82" s="113" t="s">
        <v>634</v>
      </c>
      <c r="F82" s="117">
        <v>14</v>
      </c>
      <c r="G82" s="118">
        <v>466.1</v>
      </c>
      <c r="H82" s="115" t="s">
        <v>90</v>
      </c>
    </row>
    <row r="83" spans="1:8" s="86" customFormat="1" ht="20.100000000000001" customHeight="1" x14ac:dyDescent="0.25">
      <c r="A83" s="114" t="s">
        <v>20</v>
      </c>
      <c r="B83" s="114">
        <f t="shared" si="1"/>
        <v>80</v>
      </c>
      <c r="C83" s="115" t="s">
        <v>253</v>
      </c>
      <c r="D83" s="116">
        <v>41459</v>
      </c>
      <c r="E83" s="113" t="s">
        <v>634</v>
      </c>
      <c r="F83" s="117">
        <v>14</v>
      </c>
      <c r="G83" s="118">
        <v>466.1</v>
      </c>
      <c r="H83" s="115" t="s">
        <v>90</v>
      </c>
    </row>
    <row r="84" spans="1:8" s="86" customFormat="1" ht="20.100000000000001" customHeight="1" x14ac:dyDescent="0.25">
      <c r="A84" s="114" t="s">
        <v>20</v>
      </c>
      <c r="B84" s="114">
        <f t="shared" si="1"/>
        <v>81</v>
      </c>
      <c r="C84" s="115" t="s">
        <v>254</v>
      </c>
      <c r="D84" s="116">
        <v>41459</v>
      </c>
      <c r="E84" s="113" t="s">
        <v>634</v>
      </c>
      <c r="F84" s="117">
        <v>14</v>
      </c>
      <c r="G84" s="118">
        <v>466.1</v>
      </c>
      <c r="H84" s="115" t="s">
        <v>90</v>
      </c>
    </row>
    <row r="85" spans="1:8" s="86" customFormat="1" ht="20.100000000000001" customHeight="1" x14ac:dyDescent="0.25">
      <c r="A85" s="114" t="s">
        <v>20</v>
      </c>
      <c r="B85" s="114">
        <f t="shared" si="1"/>
        <v>82</v>
      </c>
      <c r="C85" s="115" t="s">
        <v>255</v>
      </c>
      <c r="D85" s="116">
        <v>41467</v>
      </c>
      <c r="E85" s="113" t="s">
        <v>634</v>
      </c>
      <c r="F85" s="117">
        <v>10</v>
      </c>
      <c r="G85" s="118">
        <v>466.1</v>
      </c>
      <c r="H85" s="115" t="s">
        <v>77</v>
      </c>
    </row>
    <row r="86" spans="1:8" s="86" customFormat="1" ht="20.100000000000001" customHeight="1" x14ac:dyDescent="0.25">
      <c r="A86" s="114" t="s">
        <v>20</v>
      </c>
      <c r="B86" s="114">
        <f t="shared" si="1"/>
        <v>83</v>
      </c>
      <c r="C86" s="115" t="s">
        <v>256</v>
      </c>
      <c r="D86" s="116">
        <v>41470</v>
      </c>
      <c r="E86" s="113" t="s">
        <v>634</v>
      </c>
      <c r="F86" s="117">
        <v>15</v>
      </c>
      <c r="G86" s="118">
        <v>466.1</v>
      </c>
      <c r="H86" s="115" t="s">
        <v>70</v>
      </c>
    </row>
    <row r="87" spans="1:8" s="86" customFormat="1" ht="20.100000000000001" customHeight="1" x14ac:dyDescent="0.25">
      <c r="A87" s="114" t="s">
        <v>20</v>
      </c>
      <c r="B87" s="114">
        <f t="shared" si="1"/>
        <v>84</v>
      </c>
      <c r="C87" s="115" t="s">
        <v>257</v>
      </c>
      <c r="D87" s="116">
        <v>41473</v>
      </c>
      <c r="E87" s="113" t="s">
        <v>634</v>
      </c>
      <c r="F87" s="117">
        <v>10</v>
      </c>
      <c r="G87" s="118">
        <v>466.1</v>
      </c>
      <c r="H87" s="115" t="s">
        <v>636</v>
      </c>
    </row>
    <row r="88" spans="1:8" s="86" customFormat="1" ht="20.100000000000001" customHeight="1" x14ac:dyDescent="0.25">
      <c r="A88" s="114" t="s">
        <v>20</v>
      </c>
      <c r="B88" s="114">
        <f t="shared" si="1"/>
        <v>85</v>
      </c>
      <c r="C88" s="115" t="s">
        <v>258</v>
      </c>
      <c r="D88" s="116">
        <v>41473</v>
      </c>
      <c r="E88" s="113" t="s">
        <v>634</v>
      </c>
      <c r="F88" s="117">
        <v>10</v>
      </c>
      <c r="G88" s="118">
        <v>466.1</v>
      </c>
      <c r="H88" s="115" t="s">
        <v>77</v>
      </c>
    </row>
    <row r="89" spans="1:8" s="86" customFormat="1" ht="20.100000000000001" customHeight="1" x14ac:dyDescent="0.25">
      <c r="A89" s="114" t="s">
        <v>20</v>
      </c>
      <c r="B89" s="114">
        <f t="shared" si="1"/>
        <v>86</v>
      </c>
      <c r="C89" s="115" t="s">
        <v>259</v>
      </c>
      <c r="D89" s="116">
        <v>41473</v>
      </c>
      <c r="E89" s="113" t="s">
        <v>634</v>
      </c>
      <c r="F89" s="117">
        <v>12</v>
      </c>
      <c r="G89" s="118">
        <v>466.1</v>
      </c>
      <c r="H89" s="115" t="s">
        <v>45</v>
      </c>
    </row>
    <row r="90" spans="1:8" s="86" customFormat="1" ht="20.100000000000001" customHeight="1" x14ac:dyDescent="0.25">
      <c r="A90" s="114" t="s">
        <v>20</v>
      </c>
      <c r="B90" s="114">
        <f t="shared" si="1"/>
        <v>87</v>
      </c>
      <c r="C90" s="115" t="s">
        <v>260</v>
      </c>
      <c r="D90" s="116">
        <v>41472</v>
      </c>
      <c r="E90" s="113" t="s">
        <v>634</v>
      </c>
      <c r="F90" s="117">
        <v>12</v>
      </c>
      <c r="G90" s="118">
        <v>466.1</v>
      </c>
      <c r="H90" s="115" t="s">
        <v>45</v>
      </c>
    </row>
    <row r="91" spans="1:8" s="86" customFormat="1" ht="20.100000000000001" customHeight="1" x14ac:dyDescent="0.25">
      <c r="A91" s="114" t="s">
        <v>20</v>
      </c>
      <c r="B91" s="114">
        <f t="shared" si="1"/>
        <v>88</v>
      </c>
      <c r="C91" s="115" t="s">
        <v>261</v>
      </c>
      <c r="D91" s="116">
        <v>41470</v>
      </c>
      <c r="E91" s="113" t="s">
        <v>634</v>
      </c>
      <c r="F91" s="117">
        <v>7</v>
      </c>
      <c r="G91" s="118">
        <v>466.1</v>
      </c>
      <c r="H91" s="115" t="s">
        <v>59</v>
      </c>
    </row>
    <row r="92" spans="1:8" s="86" customFormat="1" ht="20.100000000000001" customHeight="1" x14ac:dyDescent="0.25">
      <c r="A92" s="114" t="s">
        <v>20</v>
      </c>
      <c r="B92" s="114">
        <f t="shared" si="1"/>
        <v>89</v>
      </c>
      <c r="C92" s="115" t="s">
        <v>262</v>
      </c>
      <c r="D92" s="116">
        <v>41470</v>
      </c>
      <c r="E92" s="113" t="s">
        <v>634</v>
      </c>
      <c r="F92" s="117">
        <v>7</v>
      </c>
      <c r="G92" s="118">
        <v>466.1</v>
      </c>
      <c r="H92" s="115" t="s">
        <v>69</v>
      </c>
    </row>
    <row r="93" spans="1:8" s="86" customFormat="1" ht="20.100000000000001" customHeight="1" x14ac:dyDescent="0.25">
      <c r="A93" s="114" t="s">
        <v>20</v>
      </c>
      <c r="B93" s="114">
        <f t="shared" si="1"/>
        <v>90</v>
      </c>
      <c r="C93" s="115" t="s">
        <v>263</v>
      </c>
      <c r="D93" s="116">
        <v>41463</v>
      </c>
      <c r="E93" s="113" t="s">
        <v>634</v>
      </c>
      <c r="F93" s="117">
        <v>7</v>
      </c>
      <c r="G93" s="118">
        <v>466.1</v>
      </c>
      <c r="H93" s="115" t="s">
        <v>64</v>
      </c>
    </row>
    <row r="94" spans="1:8" s="86" customFormat="1" ht="20.100000000000001" customHeight="1" x14ac:dyDescent="0.25">
      <c r="A94" s="114" t="s">
        <v>20</v>
      </c>
      <c r="B94" s="114">
        <f t="shared" si="1"/>
        <v>91</v>
      </c>
      <c r="C94" s="115" t="s">
        <v>264</v>
      </c>
      <c r="D94" s="116">
        <v>41484</v>
      </c>
      <c r="E94" s="113" t="s">
        <v>634</v>
      </c>
      <c r="F94" s="117">
        <v>15</v>
      </c>
      <c r="G94" s="118">
        <v>466.1</v>
      </c>
      <c r="H94" s="115" t="s">
        <v>26</v>
      </c>
    </row>
    <row r="95" spans="1:8" s="86" customFormat="1" ht="20.100000000000001" customHeight="1" x14ac:dyDescent="0.25">
      <c r="A95" s="114" t="s">
        <v>20</v>
      </c>
      <c r="B95" s="114">
        <f t="shared" si="1"/>
        <v>92</v>
      </c>
      <c r="C95" s="115" t="s">
        <v>265</v>
      </c>
      <c r="D95" s="116">
        <v>41481</v>
      </c>
      <c r="E95" s="113" t="s">
        <v>635</v>
      </c>
      <c r="F95" s="117">
        <v>58</v>
      </c>
      <c r="G95" s="118">
        <v>302254.63</v>
      </c>
      <c r="H95" s="115" t="s">
        <v>37</v>
      </c>
    </row>
    <row r="96" spans="1:8" s="86" customFormat="1" ht="20.100000000000001" customHeight="1" x14ac:dyDescent="0.25">
      <c r="A96" s="114" t="s">
        <v>20</v>
      </c>
      <c r="B96" s="114">
        <f t="shared" si="1"/>
        <v>93</v>
      </c>
      <c r="C96" s="115" t="s">
        <v>266</v>
      </c>
      <c r="D96" s="116">
        <v>41481</v>
      </c>
      <c r="E96" s="113" t="s">
        <v>635</v>
      </c>
      <c r="F96" s="117">
        <v>125.9</v>
      </c>
      <c r="G96" s="118">
        <v>3826196.91</v>
      </c>
      <c r="H96" s="115" t="s">
        <v>37</v>
      </c>
    </row>
    <row r="97" spans="1:8" s="86" customFormat="1" ht="20.100000000000001" customHeight="1" x14ac:dyDescent="0.25">
      <c r="A97" s="114" t="s">
        <v>20</v>
      </c>
      <c r="B97" s="114">
        <f t="shared" si="1"/>
        <v>94</v>
      </c>
      <c r="C97" s="115" t="s">
        <v>267</v>
      </c>
      <c r="D97" s="116">
        <v>41484</v>
      </c>
      <c r="E97" s="113" t="s">
        <v>634</v>
      </c>
      <c r="F97" s="117">
        <v>95</v>
      </c>
      <c r="G97" s="118">
        <v>441197.15</v>
      </c>
      <c r="H97" s="115" t="s">
        <v>30</v>
      </c>
    </row>
    <row r="98" spans="1:8" s="86" customFormat="1" ht="20.100000000000001" customHeight="1" x14ac:dyDescent="0.25">
      <c r="A98" s="114" t="s">
        <v>20</v>
      </c>
      <c r="B98" s="114">
        <f t="shared" si="1"/>
        <v>95</v>
      </c>
      <c r="C98" s="115" t="s">
        <v>268</v>
      </c>
      <c r="D98" s="116">
        <v>41486</v>
      </c>
      <c r="E98" s="113" t="s">
        <v>635</v>
      </c>
      <c r="F98" s="117">
        <v>95</v>
      </c>
      <c r="G98" s="118">
        <v>19665</v>
      </c>
      <c r="H98" s="115" t="s">
        <v>127</v>
      </c>
    </row>
    <row r="99" spans="1:8" s="86" customFormat="1" ht="20.100000000000001" customHeight="1" x14ac:dyDescent="0.25">
      <c r="A99" s="114" t="s">
        <v>20</v>
      </c>
      <c r="B99" s="114">
        <f t="shared" si="1"/>
        <v>96</v>
      </c>
      <c r="C99" s="115" t="s">
        <v>269</v>
      </c>
      <c r="D99" s="116">
        <v>41470</v>
      </c>
      <c r="E99" s="113" t="s">
        <v>634</v>
      </c>
      <c r="F99" s="117">
        <v>12</v>
      </c>
      <c r="G99" s="118">
        <v>466.1</v>
      </c>
      <c r="H99" s="115" t="s">
        <v>59</v>
      </c>
    </row>
    <row r="100" spans="1:8" s="86" customFormat="1" ht="20.100000000000001" customHeight="1" x14ac:dyDescent="0.25">
      <c r="A100" s="114" t="s">
        <v>20</v>
      </c>
      <c r="B100" s="114">
        <f t="shared" si="1"/>
        <v>97</v>
      </c>
      <c r="C100" s="115" t="s">
        <v>270</v>
      </c>
      <c r="D100" s="116">
        <v>41474</v>
      </c>
      <c r="E100" s="113" t="s">
        <v>635</v>
      </c>
      <c r="F100" s="117">
        <v>100</v>
      </c>
      <c r="G100" s="118">
        <v>2990129.54</v>
      </c>
      <c r="H100" s="115" t="s">
        <v>57</v>
      </c>
    </row>
    <row r="101" spans="1:8" s="86" customFormat="1" ht="20.100000000000001" customHeight="1" x14ac:dyDescent="0.25">
      <c r="A101" s="114" t="s">
        <v>20</v>
      </c>
      <c r="B101" s="114">
        <f t="shared" si="1"/>
        <v>98</v>
      </c>
      <c r="C101" s="115" t="s">
        <v>271</v>
      </c>
      <c r="D101" s="116">
        <v>41481</v>
      </c>
      <c r="E101" s="113" t="s">
        <v>634</v>
      </c>
      <c r="F101" s="117">
        <v>12</v>
      </c>
      <c r="G101" s="118">
        <v>466.1</v>
      </c>
      <c r="H101" s="115" t="s">
        <v>64</v>
      </c>
    </row>
    <row r="102" spans="1:8" s="86" customFormat="1" ht="20.100000000000001" customHeight="1" x14ac:dyDescent="0.25">
      <c r="A102" s="114" t="s">
        <v>20</v>
      </c>
      <c r="B102" s="114">
        <f t="shared" si="1"/>
        <v>99</v>
      </c>
      <c r="C102" s="115" t="s">
        <v>272</v>
      </c>
      <c r="D102" s="116">
        <v>41473</v>
      </c>
      <c r="E102" s="113" t="s">
        <v>634</v>
      </c>
      <c r="F102" s="117">
        <v>15</v>
      </c>
      <c r="G102" s="118">
        <v>466.1</v>
      </c>
      <c r="H102" s="115" t="s">
        <v>26</v>
      </c>
    </row>
    <row r="103" spans="1:8" s="86" customFormat="1" ht="20.100000000000001" customHeight="1" x14ac:dyDescent="0.25">
      <c r="A103" s="114" t="s">
        <v>20</v>
      </c>
      <c r="B103" s="114">
        <f t="shared" si="1"/>
        <v>100</v>
      </c>
      <c r="C103" s="115" t="s">
        <v>273</v>
      </c>
      <c r="D103" s="116">
        <v>41477</v>
      </c>
      <c r="E103" s="113" t="s">
        <v>634</v>
      </c>
      <c r="F103" s="117">
        <v>15</v>
      </c>
      <c r="G103" s="118">
        <v>466.1</v>
      </c>
      <c r="H103" s="115" t="s">
        <v>26</v>
      </c>
    </row>
    <row r="104" spans="1:8" s="86" customFormat="1" ht="20.100000000000001" customHeight="1" x14ac:dyDescent="0.25">
      <c r="A104" s="114" t="s">
        <v>20</v>
      </c>
      <c r="B104" s="114">
        <f t="shared" si="1"/>
        <v>101</v>
      </c>
      <c r="C104" s="115" t="s">
        <v>274</v>
      </c>
      <c r="D104" s="116">
        <v>41477</v>
      </c>
      <c r="E104" s="113" t="s">
        <v>634</v>
      </c>
      <c r="F104" s="117">
        <v>15</v>
      </c>
      <c r="G104" s="118">
        <v>466.1</v>
      </c>
      <c r="H104" s="115" t="s">
        <v>26</v>
      </c>
    </row>
    <row r="105" spans="1:8" s="86" customFormat="1" ht="20.100000000000001" customHeight="1" x14ac:dyDescent="0.25">
      <c r="A105" s="114" t="s">
        <v>20</v>
      </c>
      <c r="B105" s="114">
        <f t="shared" si="1"/>
        <v>102</v>
      </c>
      <c r="C105" s="115" t="s">
        <v>275</v>
      </c>
      <c r="D105" s="116">
        <v>41477</v>
      </c>
      <c r="E105" s="113" t="s">
        <v>634</v>
      </c>
      <c r="F105" s="117">
        <v>15</v>
      </c>
      <c r="G105" s="118">
        <v>466.1</v>
      </c>
      <c r="H105" s="115" t="s">
        <v>26</v>
      </c>
    </row>
    <row r="106" spans="1:8" s="86" customFormat="1" ht="20.100000000000001" customHeight="1" x14ac:dyDescent="0.25">
      <c r="A106" s="114" t="s">
        <v>20</v>
      </c>
      <c r="B106" s="114">
        <f t="shared" si="1"/>
        <v>103</v>
      </c>
      <c r="C106" s="115" t="s">
        <v>276</v>
      </c>
      <c r="D106" s="116">
        <v>41477</v>
      </c>
      <c r="E106" s="113" t="s">
        <v>634</v>
      </c>
      <c r="F106" s="117">
        <v>15</v>
      </c>
      <c r="G106" s="118">
        <v>466.1</v>
      </c>
      <c r="H106" s="115" t="s">
        <v>26</v>
      </c>
    </row>
    <row r="107" spans="1:8" s="86" customFormat="1" ht="20.100000000000001" customHeight="1" x14ac:dyDescent="0.25">
      <c r="A107" s="114" t="s">
        <v>20</v>
      </c>
      <c r="B107" s="114">
        <f t="shared" si="1"/>
        <v>104</v>
      </c>
      <c r="C107" s="115" t="s">
        <v>277</v>
      </c>
      <c r="D107" s="116">
        <v>41477</v>
      </c>
      <c r="E107" s="113" t="s">
        <v>634</v>
      </c>
      <c r="F107" s="117">
        <v>15</v>
      </c>
      <c r="G107" s="118">
        <v>466.1</v>
      </c>
      <c r="H107" s="115" t="s">
        <v>26</v>
      </c>
    </row>
    <row r="108" spans="1:8" s="86" customFormat="1" ht="20.100000000000001" customHeight="1" x14ac:dyDescent="0.25">
      <c r="A108" s="114" t="s">
        <v>20</v>
      </c>
      <c r="B108" s="114">
        <f t="shared" si="1"/>
        <v>105</v>
      </c>
      <c r="C108" s="115" t="s">
        <v>278</v>
      </c>
      <c r="D108" s="116">
        <v>41477</v>
      </c>
      <c r="E108" s="113" t="s">
        <v>634</v>
      </c>
      <c r="F108" s="117">
        <v>15</v>
      </c>
      <c r="G108" s="118">
        <v>466.1</v>
      </c>
      <c r="H108" s="115" t="s">
        <v>26</v>
      </c>
    </row>
    <row r="109" spans="1:8" s="86" customFormat="1" ht="20.100000000000001" customHeight="1" x14ac:dyDescent="0.25">
      <c r="A109" s="114" t="s">
        <v>20</v>
      </c>
      <c r="B109" s="114">
        <f t="shared" si="1"/>
        <v>106</v>
      </c>
      <c r="C109" s="115" t="s">
        <v>279</v>
      </c>
      <c r="D109" s="116">
        <v>41477</v>
      </c>
      <c r="E109" s="113" t="s">
        <v>634</v>
      </c>
      <c r="F109" s="117">
        <v>15</v>
      </c>
      <c r="G109" s="118">
        <v>466.1</v>
      </c>
      <c r="H109" s="115" t="s">
        <v>26</v>
      </c>
    </row>
    <row r="110" spans="1:8" s="86" customFormat="1" ht="20.100000000000001" customHeight="1" x14ac:dyDescent="0.25">
      <c r="A110" s="114" t="s">
        <v>20</v>
      </c>
      <c r="B110" s="114">
        <f t="shared" si="1"/>
        <v>107</v>
      </c>
      <c r="C110" s="115" t="s">
        <v>280</v>
      </c>
      <c r="D110" s="116">
        <v>41477</v>
      </c>
      <c r="E110" s="113" t="s">
        <v>634</v>
      </c>
      <c r="F110" s="117">
        <v>15</v>
      </c>
      <c r="G110" s="118">
        <v>466.1</v>
      </c>
      <c r="H110" s="115" t="s">
        <v>26</v>
      </c>
    </row>
    <row r="111" spans="1:8" s="86" customFormat="1" ht="20.100000000000001" customHeight="1" x14ac:dyDescent="0.25">
      <c r="A111" s="114" t="s">
        <v>20</v>
      </c>
      <c r="B111" s="114">
        <f t="shared" si="1"/>
        <v>108</v>
      </c>
      <c r="C111" s="115" t="s">
        <v>281</v>
      </c>
      <c r="D111" s="116">
        <v>41477</v>
      </c>
      <c r="E111" s="113" t="s">
        <v>634</v>
      </c>
      <c r="F111" s="117">
        <v>15</v>
      </c>
      <c r="G111" s="118">
        <v>466.1</v>
      </c>
      <c r="H111" s="115" t="s">
        <v>26</v>
      </c>
    </row>
    <row r="112" spans="1:8" s="86" customFormat="1" ht="20.100000000000001" customHeight="1" x14ac:dyDescent="0.25">
      <c r="A112" s="114" t="s">
        <v>20</v>
      </c>
      <c r="B112" s="114">
        <f t="shared" si="1"/>
        <v>109</v>
      </c>
      <c r="C112" s="115" t="s">
        <v>282</v>
      </c>
      <c r="D112" s="116">
        <v>41477</v>
      </c>
      <c r="E112" s="113" t="s">
        <v>634</v>
      </c>
      <c r="F112" s="117">
        <v>15</v>
      </c>
      <c r="G112" s="118">
        <v>466.1</v>
      </c>
      <c r="H112" s="115" t="s">
        <v>26</v>
      </c>
    </row>
    <row r="113" spans="1:8" s="86" customFormat="1" ht="20.100000000000001" customHeight="1" x14ac:dyDescent="0.25">
      <c r="A113" s="114" t="s">
        <v>20</v>
      </c>
      <c r="B113" s="114">
        <f t="shared" si="1"/>
        <v>110</v>
      </c>
      <c r="C113" s="115" t="s">
        <v>283</v>
      </c>
      <c r="D113" s="116">
        <v>41477</v>
      </c>
      <c r="E113" s="113" t="s">
        <v>634</v>
      </c>
      <c r="F113" s="117">
        <v>15</v>
      </c>
      <c r="G113" s="118">
        <v>466.1</v>
      </c>
      <c r="H113" s="115" t="s">
        <v>26</v>
      </c>
    </row>
    <row r="114" spans="1:8" s="86" customFormat="1" ht="20.100000000000001" customHeight="1" x14ac:dyDescent="0.25">
      <c r="A114" s="114" t="s">
        <v>20</v>
      </c>
      <c r="B114" s="114">
        <f t="shared" si="1"/>
        <v>111</v>
      </c>
      <c r="C114" s="115" t="s">
        <v>284</v>
      </c>
      <c r="D114" s="116">
        <v>41477</v>
      </c>
      <c r="E114" s="113" t="s">
        <v>634</v>
      </c>
      <c r="F114" s="117">
        <v>15</v>
      </c>
      <c r="G114" s="118">
        <v>466.1</v>
      </c>
      <c r="H114" s="115" t="s">
        <v>26</v>
      </c>
    </row>
    <row r="115" spans="1:8" s="86" customFormat="1" ht="20.100000000000001" customHeight="1" x14ac:dyDescent="0.25">
      <c r="A115" s="114" t="s">
        <v>20</v>
      </c>
      <c r="B115" s="114">
        <f t="shared" si="1"/>
        <v>112</v>
      </c>
      <c r="C115" s="115" t="s">
        <v>285</v>
      </c>
      <c r="D115" s="116">
        <v>41477</v>
      </c>
      <c r="E115" s="113" t="s">
        <v>634</v>
      </c>
      <c r="F115" s="117">
        <v>15</v>
      </c>
      <c r="G115" s="118">
        <v>466.1</v>
      </c>
      <c r="H115" s="115" t="s">
        <v>26</v>
      </c>
    </row>
    <row r="116" spans="1:8" s="86" customFormat="1" ht="20.100000000000001" customHeight="1" x14ac:dyDescent="0.25">
      <c r="A116" s="114" t="s">
        <v>20</v>
      </c>
      <c r="B116" s="114">
        <f t="shared" si="1"/>
        <v>113</v>
      </c>
      <c r="C116" s="115" t="s">
        <v>286</v>
      </c>
      <c r="D116" s="116">
        <v>41477</v>
      </c>
      <c r="E116" s="113" t="s">
        <v>634</v>
      </c>
      <c r="F116" s="117">
        <v>15</v>
      </c>
      <c r="G116" s="118">
        <v>466.1</v>
      </c>
      <c r="H116" s="115" t="s">
        <v>26</v>
      </c>
    </row>
    <row r="117" spans="1:8" s="86" customFormat="1" ht="20.100000000000001" customHeight="1" x14ac:dyDescent="0.25">
      <c r="A117" s="114" t="s">
        <v>20</v>
      </c>
      <c r="B117" s="114">
        <f t="shared" si="1"/>
        <v>114</v>
      </c>
      <c r="C117" s="115" t="s">
        <v>287</v>
      </c>
      <c r="D117" s="116">
        <v>41477</v>
      </c>
      <c r="E117" s="113" t="s">
        <v>634</v>
      </c>
      <c r="F117" s="117">
        <v>15</v>
      </c>
      <c r="G117" s="118">
        <v>466.1</v>
      </c>
      <c r="H117" s="115" t="s">
        <v>26</v>
      </c>
    </row>
    <row r="118" spans="1:8" s="86" customFormat="1" ht="20.100000000000001" customHeight="1" x14ac:dyDescent="0.25">
      <c r="A118" s="114" t="s">
        <v>20</v>
      </c>
      <c r="B118" s="114">
        <f t="shared" si="1"/>
        <v>115</v>
      </c>
      <c r="C118" s="115" t="s">
        <v>288</v>
      </c>
      <c r="D118" s="116">
        <v>41470</v>
      </c>
      <c r="E118" s="113" t="s">
        <v>634</v>
      </c>
      <c r="F118" s="117">
        <v>7</v>
      </c>
      <c r="G118" s="118">
        <v>466.1</v>
      </c>
      <c r="H118" s="115" t="s">
        <v>143</v>
      </c>
    </row>
    <row r="119" spans="1:8" s="86" customFormat="1" ht="20.100000000000001" customHeight="1" x14ac:dyDescent="0.25">
      <c r="A119" s="114" t="s">
        <v>20</v>
      </c>
      <c r="B119" s="114">
        <f t="shared" si="1"/>
        <v>116</v>
      </c>
      <c r="C119" s="115" t="s">
        <v>289</v>
      </c>
      <c r="D119" s="116">
        <v>41477</v>
      </c>
      <c r="E119" s="113" t="s">
        <v>634</v>
      </c>
      <c r="F119" s="117">
        <v>15</v>
      </c>
      <c r="G119" s="118">
        <v>466.1</v>
      </c>
      <c r="H119" s="115" t="s">
        <v>26</v>
      </c>
    </row>
    <row r="120" spans="1:8" s="86" customFormat="1" ht="20.100000000000001" customHeight="1" x14ac:dyDescent="0.25">
      <c r="A120" s="114" t="s">
        <v>20</v>
      </c>
      <c r="B120" s="114">
        <f t="shared" si="1"/>
        <v>117</v>
      </c>
      <c r="C120" s="115" t="s">
        <v>290</v>
      </c>
      <c r="D120" s="116">
        <v>41477</v>
      </c>
      <c r="E120" s="113" t="s">
        <v>634</v>
      </c>
      <c r="F120" s="117">
        <v>15</v>
      </c>
      <c r="G120" s="118">
        <v>466.1</v>
      </c>
      <c r="H120" s="115" t="s">
        <v>26</v>
      </c>
    </row>
    <row r="121" spans="1:8" s="86" customFormat="1" ht="20.100000000000001" customHeight="1" x14ac:dyDescent="0.25">
      <c r="A121" s="114" t="s">
        <v>20</v>
      </c>
      <c r="B121" s="114">
        <f t="shared" si="1"/>
        <v>118</v>
      </c>
      <c r="C121" s="115" t="s">
        <v>291</v>
      </c>
      <c r="D121" s="116">
        <v>41477</v>
      </c>
      <c r="E121" s="113" t="s">
        <v>634</v>
      </c>
      <c r="F121" s="117">
        <v>15</v>
      </c>
      <c r="G121" s="118">
        <v>466.1</v>
      </c>
      <c r="H121" s="115" t="s">
        <v>26</v>
      </c>
    </row>
    <row r="122" spans="1:8" s="86" customFormat="1" ht="20.100000000000001" customHeight="1" x14ac:dyDescent="0.25">
      <c r="A122" s="114" t="s">
        <v>20</v>
      </c>
      <c r="B122" s="114">
        <f t="shared" si="1"/>
        <v>119</v>
      </c>
      <c r="C122" s="115" t="s">
        <v>292</v>
      </c>
      <c r="D122" s="116">
        <v>41477</v>
      </c>
      <c r="E122" s="113" t="s">
        <v>634</v>
      </c>
      <c r="F122" s="117">
        <v>15</v>
      </c>
      <c r="G122" s="118">
        <v>466.1</v>
      </c>
      <c r="H122" s="115" t="s">
        <v>26</v>
      </c>
    </row>
    <row r="123" spans="1:8" s="86" customFormat="1" ht="20.100000000000001" customHeight="1" x14ac:dyDescent="0.25">
      <c r="A123" s="114" t="s">
        <v>20</v>
      </c>
      <c r="B123" s="114">
        <f t="shared" si="1"/>
        <v>120</v>
      </c>
      <c r="C123" s="115" t="s">
        <v>293</v>
      </c>
      <c r="D123" s="116">
        <v>41477</v>
      </c>
      <c r="E123" s="113" t="s">
        <v>634</v>
      </c>
      <c r="F123" s="117">
        <v>15</v>
      </c>
      <c r="G123" s="118">
        <v>466.1</v>
      </c>
      <c r="H123" s="115" t="s">
        <v>26</v>
      </c>
    </row>
    <row r="124" spans="1:8" s="86" customFormat="1" ht="20.100000000000001" customHeight="1" x14ac:dyDescent="0.25">
      <c r="A124" s="114" t="s">
        <v>20</v>
      </c>
      <c r="B124" s="114">
        <f t="shared" si="1"/>
        <v>121</v>
      </c>
      <c r="C124" s="115" t="s">
        <v>294</v>
      </c>
      <c r="D124" s="116">
        <v>41477</v>
      </c>
      <c r="E124" s="113" t="s">
        <v>634</v>
      </c>
      <c r="F124" s="117">
        <v>15</v>
      </c>
      <c r="G124" s="118">
        <v>466.1</v>
      </c>
      <c r="H124" s="115" t="s">
        <v>26</v>
      </c>
    </row>
    <row r="125" spans="1:8" s="86" customFormat="1" ht="20.100000000000001" customHeight="1" x14ac:dyDescent="0.25">
      <c r="A125" s="114" t="s">
        <v>20</v>
      </c>
      <c r="B125" s="114">
        <f t="shared" si="1"/>
        <v>122</v>
      </c>
      <c r="C125" s="115" t="s">
        <v>295</v>
      </c>
      <c r="D125" s="116">
        <v>41477</v>
      </c>
      <c r="E125" s="113" t="s">
        <v>634</v>
      </c>
      <c r="F125" s="117">
        <v>15</v>
      </c>
      <c r="G125" s="118">
        <v>466.1</v>
      </c>
      <c r="H125" s="115" t="s">
        <v>26</v>
      </c>
    </row>
    <row r="126" spans="1:8" s="86" customFormat="1" ht="20.100000000000001" customHeight="1" x14ac:dyDescent="0.25">
      <c r="A126" s="114" t="s">
        <v>20</v>
      </c>
      <c r="B126" s="114">
        <f t="shared" si="1"/>
        <v>123</v>
      </c>
      <c r="C126" s="115" t="s">
        <v>296</v>
      </c>
      <c r="D126" s="116">
        <v>41477</v>
      </c>
      <c r="E126" s="113" t="s">
        <v>634</v>
      </c>
      <c r="F126" s="117">
        <v>15</v>
      </c>
      <c r="G126" s="118">
        <v>466.1</v>
      </c>
      <c r="H126" s="115" t="s">
        <v>26</v>
      </c>
    </row>
    <row r="127" spans="1:8" s="86" customFormat="1" ht="20.100000000000001" customHeight="1" x14ac:dyDescent="0.25">
      <c r="A127" s="114" t="s">
        <v>20</v>
      </c>
      <c r="B127" s="114">
        <f t="shared" si="1"/>
        <v>124</v>
      </c>
      <c r="C127" s="115" t="s">
        <v>297</v>
      </c>
      <c r="D127" s="116">
        <v>41477</v>
      </c>
      <c r="E127" s="113" t="s">
        <v>634</v>
      </c>
      <c r="F127" s="117">
        <v>15</v>
      </c>
      <c r="G127" s="118">
        <v>466.1</v>
      </c>
      <c r="H127" s="115" t="s">
        <v>26</v>
      </c>
    </row>
    <row r="128" spans="1:8" s="86" customFormat="1" ht="20.100000000000001" customHeight="1" x14ac:dyDescent="0.25">
      <c r="A128" s="114" t="s">
        <v>20</v>
      </c>
      <c r="B128" s="114">
        <f t="shared" si="1"/>
        <v>125</v>
      </c>
      <c r="C128" s="115" t="s">
        <v>298</v>
      </c>
      <c r="D128" s="116">
        <v>41477</v>
      </c>
      <c r="E128" s="113" t="s">
        <v>634</v>
      </c>
      <c r="F128" s="117">
        <v>15</v>
      </c>
      <c r="G128" s="118">
        <v>466.1</v>
      </c>
      <c r="H128" s="115" t="s">
        <v>26</v>
      </c>
    </row>
    <row r="129" spans="1:8" s="86" customFormat="1" ht="20.100000000000001" customHeight="1" x14ac:dyDescent="0.25">
      <c r="A129" s="114" t="s">
        <v>20</v>
      </c>
      <c r="B129" s="114">
        <f t="shared" si="1"/>
        <v>126</v>
      </c>
      <c r="C129" s="115" t="s">
        <v>299</v>
      </c>
      <c r="D129" s="116">
        <v>41477</v>
      </c>
      <c r="E129" s="113" t="s">
        <v>634</v>
      </c>
      <c r="F129" s="117">
        <v>15</v>
      </c>
      <c r="G129" s="118">
        <v>466.1</v>
      </c>
      <c r="H129" s="115" t="s">
        <v>26</v>
      </c>
    </row>
    <row r="130" spans="1:8" s="86" customFormat="1" ht="20.100000000000001" customHeight="1" x14ac:dyDescent="0.25">
      <c r="A130" s="114" t="s">
        <v>20</v>
      </c>
      <c r="B130" s="114">
        <f t="shared" si="1"/>
        <v>127</v>
      </c>
      <c r="C130" s="115" t="s">
        <v>300</v>
      </c>
      <c r="D130" s="116">
        <v>41477</v>
      </c>
      <c r="E130" s="113" t="s">
        <v>634</v>
      </c>
      <c r="F130" s="117">
        <v>15</v>
      </c>
      <c r="G130" s="118">
        <v>466.1</v>
      </c>
      <c r="H130" s="115" t="s">
        <v>26</v>
      </c>
    </row>
    <row r="131" spans="1:8" s="86" customFormat="1" ht="20.100000000000001" customHeight="1" x14ac:dyDescent="0.25">
      <c r="A131" s="114" t="s">
        <v>20</v>
      </c>
      <c r="B131" s="114">
        <f t="shared" si="1"/>
        <v>128</v>
      </c>
      <c r="C131" s="115" t="s">
        <v>301</v>
      </c>
      <c r="D131" s="116">
        <v>41477</v>
      </c>
      <c r="E131" s="113" t="s">
        <v>634</v>
      </c>
      <c r="F131" s="117">
        <v>15</v>
      </c>
      <c r="G131" s="118">
        <v>466.1</v>
      </c>
      <c r="H131" s="115" t="s">
        <v>26</v>
      </c>
    </row>
    <row r="132" spans="1:8" s="86" customFormat="1" ht="20.100000000000001" customHeight="1" x14ac:dyDescent="0.25">
      <c r="A132" s="114" t="s">
        <v>20</v>
      </c>
      <c r="B132" s="114">
        <f t="shared" si="1"/>
        <v>129</v>
      </c>
      <c r="C132" s="115" t="s">
        <v>302</v>
      </c>
      <c r="D132" s="116">
        <v>41470</v>
      </c>
      <c r="E132" s="113" t="s">
        <v>634</v>
      </c>
      <c r="F132" s="117">
        <v>10</v>
      </c>
      <c r="G132" s="118">
        <v>466.1</v>
      </c>
      <c r="H132" s="115" t="s">
        <v>72</v>
      </c>
    </row>
    <row r="133" spans="1:8" s="86" customFormat="1" ht="20.100000000000001" customHeight="1" x14ac:dyDescent="0.25">
      <c r="A133" s="114" t="s">
        <v>20</v>
      </c>
      <c r="B133" s="114">
        <f t="shared" si="1"/>
        <v>130</v>
      </c>
      <c r="C133" s="115" t="s">
        <v>303</v>
      </c>
      <c r="D133" s="116">
        <v>41471</v>
      </c>
      <c r="E133" s="113" t="s">
        <v>634</v>
      </c>
      <c r="F133" s="117">
        <v>5</v>
      </c>
      <c r="G133" s="118">
        <v>466.1</v>
      </c>
      <c r="H133" s="115" t="s">
        <v>26</v>
      </c>
    </row>
    <row r="134" spans="1:8" s="86" customFormat="1" ht="20.100000000000001" customHeight="1" x14ac:dyDescent="0.25">
      <c r="A134" s="114" t="s">
        <v>20</v>
      </c>
      <c r="B134" s="114">
        <f t="shared" ref="B134:B197" si="2">B133+1</f>
        <v>131</v>
      </c>
      <c r="C134" s="115" t="s">
        <v>304</v>
      </c>
      <c r="D134" s="116">
        <v>41471</v>
      </c>
      <c r="E134" s="113" t="s">
        <v>634</v>
      </c>
      <c r="F134" s="117">
        <v>10</v>
      </c>
      <c r="G134" s="118">
        <v>466.1</v>
      </c>
      <c r="H134" s="115" t="s">
        <v>636</v>
      </c>
    </row>
    <row r="135" spans="1:8" s="86" customFormat="1" ht="20.100000000000001" customHeight="1" x14ac:dyDescent="0.25">
      <c r="A135" s="114" t="s">
        <v>20</v>
      </c>
      <c r="B135" s="114">
        <f t="shared" si="2"/>
        <v>132</v>
      </c>
      <c r="C135" s="115" t="s">
        <v>305</v>
      </c>
      <c r="D135" s="116">
        <v>41466</v>
      </c>
      <c r="E135" s="113" t="s">
        <v>634</v>
      </c>
      <c r="F135" s="117">
        <v>15</v>
      </c>
      <c r="G135" s="118">
        <v>466.1</v>
      </c>
      <c r="H135" s="115" t="s">
        <v>26</v>
      </c>
    </row>
    <row r="136" spans="1:8" s="86" customFormat="1" ht="20.100000000000001" customHeight="1" x14ac:dyDescent="0.25">
      <c r="A136" s="114" t="s">
        <v>20</v>
      </c>
      <c r="B136" s="114">
        <f t="shared" si="2"/>
        <v>133</v>
      </c>
      <c r="C136" s="115" t="s">
        <v>306</v>
      </c>
      <c r="D136" s="116">
        <v>41466</v>
      </c>
      <c r="E136" s="113" t="s">
        <v>634</v>
      </c>
      <c r="F136" s="117">
        <v>15</v>
      </c>
      <c r="G136" s="118">
        <v>466.1</v>
      </c>
      <c r="H136" s="115" t="s">
        <v>26</v>
      </c>
    </row>
    <row r="137" spans="1:8" s="86" customFormat="1" ht="20.100000000000001" customHeight="1" x14ac:dyDescent="0.25">
      <c r="A137" s="114" t="s">
        <v>20</v>
      </c>
      <c r="B137" s="114">
        <f t="shared" si="2"/>
        <v>134</v>
      </c>
      <c r="C137" s="115" t="s">
        <v>307</v>
      </c>
      <c r="D137" s="116">
        <v>41470</v>
      </c>
      <c r="E137" s="113" t="s">
        <v>634</v>
      </c>
      <c r="F137" s="117">
        <v>5.5</v>
      </c>
      <c r="G137" s="118">
        <v>466.1</v>
      </c>
      <c r="H137" s="115" t="s">
        <v>42</v>
      </c>
    </row>
    <row r="138" spans="1:8" s="86" customFormat="1" ht="20.100000000000001" customHeight="1" x14ac:dyDescent="0.25">
      <c r="A138" s="114" t="s">
        <v>20</v>
      </c>
      <c r="B138" s="114">
        <f t="shared" si="2"/>
        <v>135</v>
      </c>
      <c r="C138" s="115" t="s">
        <v>308</v>
      </c>
      <c r="D138" s="116">
        <v>41463</v>
      </c>
      <c r="E138" s="113" t="s">
        <v>634</v>
      </c>
      <c r="F138" s="117">
        <v>15</v>
      </c>
      <c r="G138" s="118">
        <v>466.1</v>
      </c>
      <c r="H138" s="115" t="s">
        <v>26</v>
      </c>
    </row>
    <row r="139" spans="1:8" s="86" customFormat="1" ht="20.100000000000001" customHeight="1" x14ac:dyDescent="0.25">
      <c r="A139" s="114" t="s">
        <v>20</v>
      </c>
      <c r="B139" s="114">
        <f t="shared" si="2"/>
        <v>136</v>
      </c>
      <c r="C139" s="115" t="s">
        <v>309</v>
      </c>
      <c r="D139" s="116">
        <v>41472</v>
      </c>
      <c r="E139" s="113" t="s">
        <v>634</v>
      </c>
      <c r="F139" s="117">
        <v>14</v>
      </c>
      <c r="G139" s="118">
        <v>466.1</v>
      </c>
      <c r="H139" s="115" t="s">
        <v>26</v>
      </c>
    </row>
    <row r="140" spans="1:8" s="86" customFormat="1" ht="20.100000000000001" customHeight="1" x14ac:dyDescent="0.25">
      <c r="A140" s="114" t="s">
        <v>20</v>
      </c>
      <c r="B140" s="114">
        <f t="shared" si="2"/>
        <v>137</v>
      </c>
      <c r="C140" s="115" t="s">
        <v>310</v>
      </c>
      <c r="D140" s="116">
        <v>41463</v>
      </c>
      <c r="E140" s="113" t="s">
        <v>634</v>
      </c>
      <c r="F140" s="117">
        <v>15</v>
      </c>
      <c r="G140" s="118">
        <v>466.1</v>
      </c>
      <c r="H140" s="115" t="s">
        <v>636</v>
      </c>
    </row>
    <row r="141" spans="1:8" s="86" customFormat="1" ht="20.100000000000001" customHeight="1" x14ac:dyDescent="0.25">
      <c r="A141" s="114" t="s">
        <v>20</v>
      </c>
      <c r="B141" s="114">
        <f t="shared" si="2"/>
        <v>138</v>
      </c>
      <c r="C141" s="115" t="s">
        <v>311</v>
      </c>
      <c r="D141" s="116">
        <v>41473</v>
      </c>
      <c r="E141" s="113" t="s">
        <v>634</v>
      </c>
      <c r="F141" s="117">
        <v>7</v>
      </c>
      <c r="G141" s="118">
        <v>466.1</v>
      </c>
      <c r="H141" s="115" t="s">
        <v>74</v>
      </c>
    </row>
    <row r="142" spans="1:8" s="86" customFormat="1" ht="20.100000000000001" customHeight="1" x14ac:dyDescent="0.25">
      <c r="A142" s="114" t="s">
        <v>20</v>
      </c>
      <c r="B142" s="114">
        <f t="shared" si="2"/>
        <v>139</v>
      </c>
      <c r="C142" s="115" t="s">
        <v>312</v>
      </c>
      <c r="D142" s="116">
        <v>41463</v>
      </c>
      <c r="E142" s="113" t="s">
        <v>634</v>
      </c>
      <c r="F142" s="117">
        <v>15</v>
      </c>
      <c r="G142" s="118">
        <v>466.1</v>
      </c>
      <c r="H142" s="115" t="s">
        <v>26</v>
      </c>
    </row>
    <row r="143" spans="1:8" s="86" customFormat="1" ht="20.100000000000001" customHeight="1" x14ac:dyDescent="0.25">
      <c r="A143" s="114" t="s">
        <v>20</v>
      </c>
      <c r="B143" s="114">
        <f t="shared" si="2"/>
        <v>140</v>
      </c>
      <c r="C143" s="115" t="s">
        <v>313</v>
      </c>
      <c r="D143" s="116">
        <v>41471</v>
      </c>
      <c r="E143" s="113" t="s">
        <v>634</v>
      </c>
      <c r="F143" s="117">
        <v>14</v>
      </c>
      <c r="G143" s="118">
        <v>466.1</v>
      </c>
      <c r="H143" s="115" t="s">
        <v>636</v>
      </c>
    </row>
    <row r="144" spans="1:8" s="86" customFormat="1" ht="20.100000000000001" customHeight="1" x14ac:dyDescent="0.25">
      <c r="A144" s="114" t="s">
        <v>20</v>
      </c>
      <c r="B144" s="114">
        <f t="shared" si="2"/>
        <v>141</v>
      </c>
      <c r="C144" s="115" t="s">
        <v>314</v>
      </c>
      <c r="D144" s="116">
        <v>41473</v>
      </c>
      <c r="E144" s="113" t="s">
        <v>634</v>
      </c>
      <c r="F144" s="117">
        <v>15</v>
      </c>
      <c r="G144" s="118">
        <v>466.1</v>
      </c>
      <c r="H144" s="115" t="s">
        <v>636</v>
      </c>
    </row>
    <row r="145" spans="1:8" s="86" customFormat="1" ht="20.100000000000001" customHeight="1" x14ac:dyDescent="0.25">
      <c r="A145" s="114" t="s">
        <v>20</v>
      </c>
      <c r="B145" s="114">
        <f t="shared" si="2"/>
        <v>142</v>
      </c>
      <c r="C145" s="115" t="s">
        <v>315</v>
      </c>
      <c r="D145" s="116">
        <v>41467</v>
      </c>
      <c r="E145" s="113" t="s">
        <v>634</v>
      </c>
      <c r="F145" s="117">
        <v>5</v>
      </c>
      <c r="G145" s="118">
        <v>466.1</v>
      </c>
      <c r="H145" s="115" t="s">
        <v>636</v>
      </c>
    </row>
    <row r="146" spans="1:8" s="86" customFormat="1" ht="20.100000000000001" customHeight="1" x14ac:dyDescent="0.25">
      <c r="A146" s="114" t="s">
        <v>20</v>
      </c>
      <c r="B146" s="114">
        <f t="shared" si="2"/>
        <v>143</v>
      </c>
      <c r="C146" s="115" t="s">
        <v>316</v>
      </c>
      <c r="D146" s="116">
        <v>41470</v>
      </c>
      <c r="E146" s="113" t="s">
        <v>634</v>
      </c>
      <c r="F146" s="117">
        <v>15</v>
      </c>
      <c r="G146" s="118">
        <v>466.1</v>
      </c>
      <c r="H146" s="115" t="s">
        <v>44</v>
      </c>
    </row>
    <row r="147" spans="1:8" s="86" customFormat="1" ht="20.100000000000001" customHeight="1" x14ac:dyDescent="0.25">
      <c r="A147" s="114" t="s">
        <v>20</v>
      </c>
      <c r="B147" s="114">
        <f t="shared" si="2"/>
        <v>144</v>
      </c>
      <c r="C147" s="115" t="s">
        <v>317</v>
      </c>
      <c r="D147" s="116">
        <v>41473</v>
      </c>
      <c r="E147" s="113" t="s">
        <v>634</v>
      </c>
      <c r="F147" s="117">
        <v>15</v>
      </c>
      <c r="G147" s="118">
        <v>466.1</v>
      </c>
      <c r="H147" s="115" t="s">
        <v>69</v>
      </c>
    </row>
    <row r="148" spans="1:8" s="86" customFormat="1" ht="20.100000000000001" customHeight="1" x14ac:dyDescent="0.25">
      <c r="A148" s="114" t="s">
        <v>20</v>
      </c>
      <c r="B148" s="114">
        <f t="shared" si="2"/>
        <v>145</v>
      </c>
      <c r="C148" s="115" t="s">
        <v>318</v>
      </c>
      <c r="D148" s="116">
        <v>41473</v>
      </c>
      <c r="E148" s="113" t="s">
        <v>634</v>
      </c>
      <c r="F148" s="117">
        <v>12</v>
      </c>
      <c r="G148" s="118">
        <v>466.1</v>
      </c>
      <c r="H148" s="115" t="s">
        <v>26</v>
      </c>
    </row>
    <row r="149" spans="1:8" s="86" customFormat="1" ht="20.100000000000001" customHeight="1" x14ac:dyDescent="0.25">
      <c r="A149" s="114" t="s">
        <v>20</v>
      </c>
      <c r="B149" s="114">
        <f t="shared" si="2"/>
        <v>146</v>
      </c>
      <c r="C149" s="115" t="s">
        <v>319</v>
      </c>
      <c r="D149" s="116">
        <v>41464</v>
      </c>
      <c r="E149" s="113" t="s">
        <v>634</v>
      </c>
      <c r="F149" s="117">
        <v>7</v>
      </c>
      <c r="G149" s="118">
        <v>466.1</v>
      </c>
      <c r="H149" s="115" t="s">
        <v>75</v>
      </c>
    </row>
    <row r="150" spans="1:8" s="86" customFormat="1" ht="20.100000000000001" customHeight="1" x14ac:dyDescent="0.25">
      <c r="A150" s="114" t="s">
        <v>20</v>
      </c>
      <c r="B150" s="114">
        <f t="shared" si="2"/>
        <v>147</v>
      </c>
      <c r="C150" s="115" t="s">
        <v>320</v>
      </c>
      <c r="D150" s="116">
        <v>41473</v>
      </c>
      <c r="E150" s="113" t="s">
        <v>634</v>
      </c>
      <c r="F150" s="117">
        <v>12</v>
      </c>
      <c r="G150" s="118">
        <v>466.1</v>
      </c>
      <c r="H150" s="115" t="s">
        <v>69</v>
      </c>
    </row>
    <row r="151" spans="1:8" s="86" customFormat="1" ht="20.100000000000001" customHeight="1" x14ac:dyDescent="0.25">
      <c r="A151" s="114" t="s">
        <v>20</v>
      </c>
      <c r="B151" s="114">
        <f t="shared" si="2"/>
        <v>148</v>
      </c>
      <c r="C151" s="115" t="s">
        <v>321</v>
      </c>
      <c r="D151" s="116">
        <v>41473</v>
      </c>
      <c r="E151" s="113" t="s">
        <v>634</v>
      </c>
      <c r="F151" s="117">
        <v>15</v>
      </c>
      <c r="G151" s="118">
        <v>466.1</v>
      </c>
      <c r="H151" s="115" t="s">
        <v>26</v>
      </c>
    </row>
    <row r="152" spans="1:8" s="86" customFormat="1" ht="20.100000000000001" customHeight="1" x14ac:dyDescent="0.25">
      <c r="A152" s="114" t="s">
        <v>20</v>
      </c>
      <c r="B152" s="114">
        <f t="shared" si="2"/>
        <v>149</v>
      </c>
      <c r="C152" s="115" t="s">
        <v>322</v>
      </c>
      <c r="D152" s="116">
        <v>41474</v>
      </c>
      <c r="E152" s="113" t="s">
        <v>634</v>
      </c>
      <c r="F152" s="117">
        <v>15</v>
      </c>
      <c r="G152" s="118">
        <v>466.1</v>
      </c>
      <c r="H152" s="115" t="s">
        <v>69</v>
      </c>
    </row>
    <row r="153" spans="1:8" s="86" customFormat="1" ht="20.100000000000001" customHeight="1" x14ac:dyDescent="0.25">
      <c r="A153" s="114" t="s">
        <v>20</v>
      </c>
      <c r="B153" s="114">
        <f t="shared" si="2"/>
        <v>150</v>
      </c>
      <c r="C153" s="115" t="s">
        <v>323</v>
      </c>
      <c r="D153" s="116">
        <v>41473</v>
      </c>
      <c r="E153" s="113" t="s">
        <v>634</v>
      </c>
      <c r="F153" s="117">
        <v>7</v>
      </c>
      <c r="G153" s="118">
        <v>466.1</v>
      </c>
      <c r="H153" s="115" t="s">
        <v>69</v>
      </c>
    </row>
    <row r="154" spans="1:8" s="86" customFormat="1" ht="20.100000000000001" customHeight="1" x14ac:dyDescent="0.25">
      <c r="A154" s="114" t="s">
        <v>20</v>
      </c>
      <c r="B154" s="114">
        <f t="shared" si="2"/>
        <v>151</v>
      </c>
      <c r="C154" s="115" t="s">
        <v>324</v>
      </c>
      <c r="D154" s="116">
        <v>41474</v>
      </c>
      <c r="E154" s="113" t="s">
        <v>634</v>
      </c>
      <c r="F154" s="117">
        <v>15</v>
      </c>
      <c r="G154" s="118">
        <v>466.1</v>
      </c>
      <c r="H154" s="115" t="s">
        <v>62</v>
      </c>
    </row>
    <row r="155" spans="1:8" s="86" customFormat="1" ht="20.100000000000001" customHeight="1" x14ac:dyDescent="0.25">
      <c r="A155" s="114" t="s">
        <v>20</v>
      </c>
      <c r="B155" s="114">
        <f t="shared" si="2"/>
        <v>152</v>
      </c>
      <c r="C155" s="115" t="s">
        <v>325</v>
      </c>
      <c r="D155" s="116">
        <v>41477</v>
      </c>
      <c r="E155" s="113" t="s">
        <v>634</v>
      </c>
      <c r="F155" s="117">
        <v>15</v>
      </c>
      <c r="G155" s="118">
        <v>466.1</v>
      </c>
      <c r="H155" s="115" t="s">
        <v>59</v>
      </c>
    </row>
    <row r="156" spans="1:8" s="86" customFormat="1" ht="20.100000000000001" customHeight="1" x14ac:dyDescent="0.25">
      <c r="A156" s="114" t="s">
        <v>20</v>
      </c>
      <c r="B156" s="114">
        <f t="shared" si="2"/>
        <v>153</v>
      </c>
      <c r="C156" s="115" t="s">
        <v>326</v>
      </c>
      <c r="D156" s="116">
        <v>41474</v>
      </c>
      <c r="E156" s="113" t="s">
        <v>634</v>
      </c>
      <c r="F156" s="117">
        <v>9</v>
      </c>
      <c r="G156" s="118">
        <v>466.1</v>
      </c>
      <c r="H156" s="115" t="s">
        <v>124</v>
      </c>
    </row>
    <row r="157" spans="1:8" s="86" customFormat="1" ht="20.100000000000001" customHeight="1" x14ac:dyDescent="0.25">
      <c r="A157" s="114" t="s">
        <v>20</v>
      </c>
      <c r="B157" s="114">
        <f t="shared" si="2"/>
        <v>154</v>
      </c>
      <c r="C157" s="115" t="s">
        <v>327</v>
      </c>
      <c r="D157" s="116">
        <v>41473</v>
      </c>
      <c r="E157" s="113" t="s">
        <v>634</v>
      </c>
      <c r="F157" s="117">
        <v>8</v>
      </c>
      <c r="G157" s="118">
        <v>466.1</v>
      </c>
      <c r="H157" s="115" t="s">
        <v>72</v>
      </c>
    </row>
    <row r="158" spans="1:8" s="86" customFormat="1" ht="20.100000000000001" customHeight="1" x14ac:dyDescent="0.25">
      <c r="A158" s="114" t="s">
        <v>20</v>
      </c>
      <c r="B158" s="114">
        <f t="shared" si="2"/>
        <v>155</v>
      </c>
      <c r="C158" s="115" t="s">
        <v>328</v>
      </c>
      <c r="D158" s="116">
        <v>41466</v>
      </c>
      <c r="E158" s="113" t="s">
        <v>634</v>
      </c>
      <c r="F158" s="117">
        <v>5</v>
      </c>
      <c r="G158" s="118">
        <v>466.1</v>
      </c>
      <c r="H158" s="115" t="s">
        <v>51</v>
      </c>
    </row>
    <row r="159" spans="1:8" s="86" customFormat="1" ht="20.100000000000001" customHeight="1" x14ac:dyDescent="0.25">
      <c r="A159" s="114" t="s">
        <v>20</v>
      </c>
      <c r="B159" s="114">
        <f t="shared" si="2"/>
        <v>156</v>
      </c>
      <c r="C159" s="115" t="s">
        <v>329</v>
      </c>
      <c r="D159" s="116">
        <v>41478</v>
      </c>
      <c r="E159" s="113" t="s">
        <v>634</v>
      </c>
      <c r="F159" s="117">
        <v>10</v>
      </c>
      <c r="G159" s="118">
        <v>466.1</v>
      </c>
      <c r="H159" s="115" t="s">
        <v>69</v>
      </c>
    </row>
    <row r="160" spans="1:8" s="86" customFormat="1" ht="20.100000000000001" customHeight="1" x14ac:dyDescent="0.25">
      <c r="A160" s="114" t="s">
        <v>20</v>
      </c>
      <c r="B160" s="114">
        <f t="shared" si="2"/>
        <v>157</v>
      </c>
      <c r="C160" s="115" t="s">
        <v>330</v>
      </c>
      <c r="D160" s="116">
        <v>41479</v>
      </c>
      <c r="E160" s="113" t="s">
        <v>634</v>
      </c>
      <c r="F160" s="117">
        <v>15</v>
      </c>
      <c r="G160" s="118">
        <v>466.1</v>
      </c>
      <c r="H160" s="115" t="s">
        <v>69</v>
      </c>
    </row>
    <row r="161" spans="1:8" s="86" customFormat="1" ht="20.100000000000001" customHeight="1" x14ac:dyDescent="0.25">
      <c r="A161" s="114" t="s">
        <v>20</v>
      </c>
      <c r="B161" s="114">
        <f t="shared" si="2"/>
        <v>158</v>
      </c>
      <c r="C161" s="115" t="s">
        <v>331</v>
      </c>
      <c r="D161" s="116">
        <v>41479</v>
      </c>
      <c r="E161" s="113" t="s">
        <v>634</v>
      </c>
      <c r="F161" s="117">
        <v>15</v>
      </c>
      <c r="G161" s="118">
        <v>466.1</v>
      </c>
      <c r="H161" s="115" t="s">
        <v>42</v>
      </c>
    </row>
    <row r="162" spans="1:8" s="86" customFormat="1" ht="20.100000000000001" customHeight="1" x14ac:dyDescent="0.25">
      <c r="A162" s="114" t="s">
        <v>20</v>
      </c>
      <c r="B162" s="114">
        <f t="shared" si="2"/>
        <v>159</v>
      </c>
      <c r="C162" s="115" t="s">
        <v>332</v>
      </c>
      <c r="D162" s="116">
        <v>41479</v>
      </c>
      <c r="E162" s="113" t="s">
        <v>634</v>
      </c>
      <c r="F162" s="117">
        <v>15</v>
      </c>
      <c r="G162" s="118">
        <v>466.1</v>
      </c>
      <c r="H162" s="115" t="s">
        <v>636</v>
      </c>
    </row>
    <row r="163" spans="1:8" s="86" customFormat="1" ht="20.100000000000001" customHeight="1" x14ac:dyDescent="0.25">
      <c r="A163" s="114" t="s">
        <v>20</v>
      </c>
      <c r="B163" s="114">
        <f t="shared" si="2"/>
        <v>160</v>
      </c>
      <c r="C163" s="115" t="s">
        <v>333</v>
      </c>
      <c r="D163" s="116">
        <v>41479</v>
      </c>
      <c r="E163" s="113" t="s">
        <v>634</v>
      </c>
      <c r="F163" s="117">
        <v>12</v>
      </c>
      <c r="G163" s="118">
        <v>466.1</v>
      </c>
      <c r="H163" s="115" t="s">
        <v>72</v>
      </c>
    </row>
    <row r="164" spans="1:8" s="86" customFormat="1" ht="20.100000000000001" customHeight="1" x14ac:dyDescent="0.25">
      <c r="A164" s="114" t="s">
        <v>20</v>
      </c>
      <c r="B164" s="114">
        <f t="shared" si="2"/>
        <v>161</v>
      </c>
      <c r="C164" s="115" t="s">
        <v>334</v>
      </c>
      <c r="D164" s="116">
        <v>41480</v>
      </c>
      <c r="E164" s="113" t="s">
        <v>634</v>
      </c>
      <c r="F164" s="117">
        <v>6</v>
      </c>
      <c r="G164" s="118">
        <v>466.1</v>
      </c>
      <c r="H164" s="115" t="s">
        <v>26</v>
      </c>
    </row>
    <row r="165" spans="1:8" s="86" customFormat="1" ht="20.100000000000001" customHeight="1" x14ac:dyDescent="0.25">
      <c r="A165" s="114" t="s">
        <v>20</v>
      </c>
      <c r="B165" s="114">
        <f t="shared" si="2"/>
        <v>162</v>
      </c>
      <c r="C165" s="115" t="s">
        <v>335</v>
      </c>
      <c r="D165" s="116">
        <v>41480</v>
      </c>
      <c r="E165" s="113" t="s">
        <v>634</v>
      </c>
      <c r="F165" s="117">
        <v>10</v>
      </c>
      <c r="G165" s="118">
        <v>466.1</v>
      </c>
      <c r="H165" s="115" t="s">
        <v>26</v>
      </c>
    </row>
    <row r="166" spans="1:8" s="86" customFormat="1" ht="20.100000000000001" customHeight="1" x14ac:dyDescent="0.25">
      <c r="A166" s="114" t="s">
        <v>20</v>
      </c>
      <c r="B166" s="114">
        <f t="shared" si="2"/>
        <v>163</v>
      </c>
      <c r="C166" s="115" t="s">
        <v>336</v>
      </c>
      <c r="D166" s="116">
        <v>41478</v>
      </c>
      <c r="E166" s="113" t="s">
        <v>634</v>
      </c>
      <c r="F166" s="117">
        <v>7</v>
      </c>
      <c r="G166" s="118">
        <v>466.1</v>
      </c>
      <c r="H166" s="115" t="s">
        <v>59</v>
      </c>
    </row>
    <row r="167" spans="1:8" s="86" customFormat="1" ht="20.100000000000001" customHeight="1" x14ac:dyDescent="0.25">
      <c r="A167" s="114" t="s">
        <v>20</v>
      </c>
      <c r="B167" s="114">
        <f t="shared" si="2"/>
        <v>164</v>
      </c>
      <c r="C167" s="115" t="s">
        <v>337</v>
      </c>
      <c r="D167" s="116">
        <v>41472</v>
      </c>
      <c r="E167" s="113" t="s">
        <v>634</v>
      </c>
      <c r="F167" s="117">
        <v>15</v>
      </c>
      <c r="G167" s="118">
        <v>466.1</v>
      </c>
      <c r="H167" s="115" t="s">
        <v>42</v>
      </c>
    </row>
    <row r="168" spans="1:8" s="86" customFormat="1" ht="20.100000000000001" customHeight="1" x14ac:dyDescent="0.25">
      <c r="A168" s="114" t="s">
        <v>20</v>
      </c>
      <c r="B168" s="114">
        <f t="shared" si="2"/>
        <v>165</v>
      </c>
      <c r="C168" s="115" t="s">
        <v>338</v>
      </c>
      <c r="D168" s="116">
        <v>41481</v>
      </c>
      <c r="E168" s="113" t="s">
        <v>634</v>
      </c>
      <c r="F168" s="117">
        <v>7</v>
      </c>
      <c r="G168" s="118">
        <v>466.1</v>
      </c>
      <c r="H168" s="115" t="s">
        <v>64</v>
      </c>
    </row>
    <row r="169" spans="1:8" s="86" customFormat="1" ht="20.100000000000001" customHeight="1" x14ac:dyDescent="0.25">
      <c r="A169" s="114" t="s">
        <v>20</v>
      </c>
      <c r="B169" s="114">
        <f t="shared" si="2"/>
        <v>166</v>
      </c>
      <c r="C169" s="115" t="s">
        <v>339</v>
      </c>
      <c r="D169" s="116">
        <v>41479</v>
      </c>
      <c r="E169" s="113" t="s">
        <v>634</v>
      </c>
      <c r="F169" s="117">
        <v>15</v>
      </c>
      <c r="G169" s="118">
        <v>466.1</v>
      </c>
      <c r="H169" s="115" t="s">
        <v>26</v>
      </c>
    </row>
    <row r="170" spans="1:8" s="86" customFormat="1" ht="20.100000000000001" customHeight="1" x14ac:dyDescent="0.25">
      <c r="A170" s="114" t="s">
        <v>20</v>
      </c>
      <c r="B170" s="114">
        <f t="shared" si="2"/>
        <v>167</v>
      </c>
      <c r="C170" s="115" t="s">
        <v>340</v>
      </c>
      <c r="D170" s="116">
        <v>41479</v>
      </c>
      <c r="E170" s="113" t="s">
        <v>634</v>
      </c>
      <c r="F170" s="117">
        <v>5</v>
      </c>
      <c r="G170" s="118">
        <v>466.1</v>
      </c>
      <c r="H170" s="115" t="s">
        <v>636</v>
      </c>
    </row>
    <row r="171" spans="1:8" s="86" customFormat="1" ht="20.100000000000001" customHeight="1" x14ac:dyDescent="0.25">
      <c r="A171" s="114" t="s">
        <v>20</v>
      </c>
      <c r="B171" s="114">
        <f t="shared" si="2"/>
        <v>168</v>
      </c>
      <c r="C171" s="115" t="s">
        <v>341</v>
      </c>
      <c r="D171" s="116">
        <v>41478</v>
      </c>
      <c r="E171" s="113" t="s">
        <v>634</v>
      </c>
      <c r="F171" s="117">
        <v>12</v>
      </c>
      <c r="G171" s="118">
        <v>466.1</v>
      </c>
      <c r="H171" s="115" t="s">
        <v>42</v>
      </c>
    </row>
    <row r="172" spans="1:8" s="86" customFormat="1" ht="20.100000000000001" customHeight="1" x14ac:dyDescent="0.25">
      <c r="A172" s="114" t="s">
        <v>20</v>
      </c>
      <c r="B172" s="114">
        <f t="shared" si="2"/>
        <v>169</v>
      </c>
      <c r="C172" s="115" t="s">
        <v>342</v>
      </c>
      <c r="D172" s="116">
        <v>41484</v>
      </c>
      <c r="E172" s="113" t="s">
        <v>634</v>
      </c>
      <c r="F172" s="117">
        <v>15</v>
      </c>
      <c r="G172" s="118">
        <v>466.1</v>
      </c>
      <c r="H172" s="115" t="s">
        <v>26</v>
      </c>
    </row>
    <row r="173" spans="1:8" s="86" customFormat="1" ht="20.100000000000001" customHeight="1" x14ac:dyDescent="0.25">
      <c r="A173" s="114" t="s">
        <v>20</v>
      </c>
      <c r="B173" s="114">
        <f t="shared" si="2"/>
        <v>170</v>
      </c>
      <c r="C173" s="115" t="s">
        <v>343</v>
      </c>
      <c r="D173" s="116">
        <v>41484</v>
      </c>
      <c r="E173" s="113" t="s">
        <v>634</v>
      </c>
      <c r="F173" s="117">
        <v>15</v>
      </c>
      <c r="G173" s="118">
        <v>466.1</v>
      </c>
      <c r="H173" s="115" t="s">
        <v>26</v>
      </c>
    </row>
    <row r="174" spans="1:8" s="86" customFormat="1" ht="20.100000000000001" customHeight="1" x14ac:dyDescent="0.25">
      <c r="A174" s="114" t="s">
        <v>20</v>
      </c>
      <c r="B174" s="114">
        <f t="shared" si="2"/>
        <v>171</v>
      </c>
      <c r="C174" s="115" t="s">
        <v>344</v>
      </c>
      <c r="D174" s="116">
        <v>41481</v>
      </c>
      <c r="E174" s="113" t="s">
        <v>635</v>
      </c>
      <c r="F174" s="117">
        <v>150</v>
      </c>
      <c r="G174" s="118">
        <v>20042.37</v>
      </c>
      <c r="H174" s="115" t="s">
        <v>74</v>
      </c>
    </row>
    <row r="175" spans="1:8" s="86" customFormat="1" ht="20.25" customHeight="1" x14ac:dyDescent="0.25">
      <c r="A175" s="114" t="s">
        <v>20</v>
      </c>
      <c r="B175" s="114">
        <f t="shared" si="2"/>
        <v>172</v>
      </c>
      <c r="C175" s="115" t="s">
        <v>345</v>
      </c>
      <c r="D175" s="116">
        <v>41479</v>
      </c>
      <c r="E175" s="113" t="s">
        <v>634</v>
      </c>
      <c r="F175" s="117">
        <v>10</v>
      </c>
      <c r="G175" s="118">
        <v>466.1</v>
      </c>
      <c r="H175" s="115" t="s">
        <v>636</v>
      </c>
    </row>
    <row r="176" spans="1:8" s="86" customFormat="1" ht="20.100000000000001" customHeight="1" x14ac:dyDescent="0.25">
      <c r="A176" s="114" t="s">
        <v>20</v>
      </c>
      <c r="B176" s="114">
        <f t="shared" si="2"/>
        <v>173</v>
      </c>
      <c r="C176" s="115" t="s">
        <v>346</v>
      </c>
      <c r="D176" s="116">
        <v>41484</v>
      </c>
      <c r="E176" s="113" t="s">
        <v>634</v>
      </c>
      <c r="F176" s="117">
        <v>10</v>
      </c>
      <c r="G176" s="118">
        <v>466.1</v>
      </c>
      <c r="H176" s="115" t="s">
        <v>26</v>
      </c>
    </row>
    <row r="177" spans="1:8" s="86" customFormat="1" ht="20.100000000000001" customHeight="1" x14ac:dyDescent="0.25">
      <c r="A177" s="114" t="s">
        <v>20</v>
      </c>
      <c r="B177" s="114">
        <f t="shared" si="2"/>
        <v>174</v>
      </c>
      <c r="C177" s="115" t="s">
        <v>347</v>
      </c>
      <c r="D177" s="116">
        <v>41485</v>
      </c>
      <c r="E177" s="113" t="s">
        <v>634</v>
      </c>
      <c r="F177" s="117">
        <v>13</v>
      </c>
      <c r="G177" s="118">
        <v>466.1</v>
      </c>
      <c r="H177" s="115" t="s">
        <v>42</v>
      </c>
    </row>
    <row r="178" spans="1:8" s="86" customFormat="1" ht="20.100000000000001" customHeight="1" x14ac:dyDescent="0.25">
      <c r="A178" s="114" t="s">
        <v>20</v>
      </c>
      <c r="B178" s="114">
        <f t="shared" si="2"/>
        <v>175</v>
      </c>
      <c r="C178" s="115" t="s">
        <v>348</v>
      </c>
      <c r="D178" s="116">
        <v>41484</v>
      </c>
      <c r="E178" s="113" t="s">
        <v>634</v>
      </c>
      <c r="F178" s="117">
        <v>7</v>
      </c>
      <c r="G178" s="118">
        <v>466.1</v>
      </c>
      <c r="H178" s="115" t="s">
        <v>636</v>
      </c>
    </row>
    <row r="179" spans="1:8" s="86" customFormat="1" ht="20.100000000000001" customHeight="1" x14ac:dyDescent="0.25">
      <c r="A179" s="114" t="s">
        <v>20</v>
      </c>
      <c r="B179" s="114">
        <f t="shared" si="2"/>
        <v>176</v>
      </c>
      <c r="C179" s="115" t="s">
        <v>349</v>
      </c>
      <c r="D179" s="116">
        <v>41463</v>
      </c>
      <c r="E179" s="113" t="s">
        <v>634</v>
      </c>
      <c r="F179" s="117">
        <v>7</v>
      </c>
      <c r="G179" s="118">
        <v>466.1</v>
      </c>
      <c r="H179" s="115" t="s">
        <v>74</v>
      </c>
    </row>
    <row r="180" spans="1:8" s="86" customFormat="1" ht="20.100000000000001" customHeight="1" x14ac:dyDescent="0.25">
      <c r="A180" s="114" t="s">
        <v>20</v>
      </c>
      <c r="B180" s="114">
        <f t="shared" si="2"/>
        <v>177</v>
      </c>
      <c r="C180" s="115" t="s">
        <v>350</v>
      </c>
      <c r="D180" s="116">
        <v>41471</v>
      </c>
      <c r="E180" s="113" t="s">
        <v>634</v>
      </c>
      <c r="F180" s="117">
        <v>15</v>
      </c>
      <c r="G180" s="118">
        <v>466.1</v>
      </c>
      <c r="H180" s="115" t="s">
        <v>75</v>
      </c>
    </row>
    <row r="181" spans="1:8" s="86" customFormat="1" ht="20.100000000000001" customHeight="1" x14ac:dyDescent="0.25">
      <c r="A181" s="114" t="s">
        <v>20</v>
      </c>
      <c r="B181" s="114">
        <f t="shared" si="2"/>
        <v>178</v>
      </c>
      <c r="C181" s="115" t="s">
        <v>351</v>
      </c>
      <c r="D181" s="116">
        <v>41479</v>
      </c>
      <c r="E181" s="113" t="s">
        <v>634</v>
      </c>
      <c r="F181" s="117">
        <v>10</v>
      </c>
      <c r="G181" s="118">
        <v>466.1</v>
      </c>
      <c r="H181" s="115" t="s">
        <v>77</v>
      </c>
    </row>
    <row r="182" spans="1:8" s="86" customFormat="1" ht="20.100000000000001" customHeight="1" x14ac:dyDescent="0.25">
      <c r="A182" s="114" t="s">
        <v>20</v>
      </c>
      <c r="B182" s="114">
        <f t="shared" si="2"/>
        <v>179</v>
      </c>
      <c r="C182" s="115" t="s">
        <v>352</v>
      </c>
      <c r="D182" s="116">
        <v>41479</v>
      </c>
      <c r="E182" s="113" t="s">
        <v>634</v>
      </c>
      <c r="F182" s="117">
        <v>2</v>
      </c>
      <c r="G182" s="118">
        <v>466.1</v>
      </c>
      <c r="H182" s="115" t="s">
        <v>77</v>
      </c>
    </row>
    <row r="183" spans="1:8" s="86" customFormat="1" ht="20.100000000000001" customHeight="1" x14ac:dyDescent="0.25">
      <c r="A183" s="114" t="s">
        <v>20</v>
      </c>
      <c r="B183" s="114">
        <f t="shared" si="2"/>
        <v>180</v>
      </c>
      <c r="C183" s="115" t="s">
        <v>353</v>
      </c>
      <c r="D183" s="116">
        <v>41477</v>
      </c>
      <c r="E183" s="113" t="s">
        <v>634</v>
      </c>
      <c r="F183" s="117">
        <v>8</v>
      </c>
      <c r="G183" s="118">
        <v>466.1</v>
      </c>
      <c r="H183" s="115" t="s">
        <v>42</v>
      </c>
    </row>
    <row r="184" spans="1:8" s="86" customFormat="1" ht="20.100000000000001" customHeight="1" x14ac:dyDescent="0.25">
      <c r="A184" s="114" t="s">
        <v>20</v>
      </c>
      <c r="B184" s="114">
        <f t="shared" si="2"/>
        <v>181</v>
      </c>
      <c r="C184" s="115" t="s">
        <v>354</v>
      </c>
      <c r="D184" s="116">
        <v>41484</v>
      </c>
      <c r="E184" s="113" t="s">
        <v>634</v>
      </c>
      <c r="F184" s="117">
        <v>0.5</v>
      </c>
      <c r="G184" s="118">
        <v>466.1</v>
      </c>
      <c r="H184" s="115" t="s">
        <v>98</v>
      </c>
    </row>
    <row r="185" spans="1:8" s="86" customFormat="1" ht="20.100000000000001" customHeight="1" x14ac:dyDescent="0.25">
      <c r="A185" s="114" t="s">
        <v>20</v>
      </c>
      <c r="B185" s="114">
        <f t="shared" si="2"/>
        <v>182</v>
      </c>
      <c r="C185" s="115" t="s">
        <v>355</v>
      </c>
      <c r="D185" s="116">
        <v>41477</v>
      </c>
      <c r="E185" s="113" t="s">
        <v>634</v>
      </c>
      <c r="F185" s="117">
        <v>15</v>
      </c>
      <c r="G185" s="118">
        <v>466.1</v>
      </c>
      <c r="H185" s="115" t="s">
        <v>69</v>
      </c>
    </row>
    <row r="186" spans="1:8" s="86" customFormat="1" ht="20.100000000000001" customHeight="1" x14ac:dyDescent="0.25">
      <c r="A186" s="114" t="s">
        <v>20</v>
      </c>
      <c r="B186" s="114">
        <f t="shared" si="2"/>
        <v>183</v>
      </c>
      <c r="C186" s="115" t="s">
        <v>356</v>
      </c>
      <c r="D186" s="116">
        <v>41479</v>
      </c>
      <c r="E186" s="113" t="s">
        <v>635</v>
      </c>
      <c r="F186" s="117">
        <v>15</v>
      </c>
      <c r="G186" s="118">
        <v>273000</v>
      </c>
      <c r="H186" s="115" t="s">
        <v>636</v>
      </c>
    </row>
    <row r="187" spans="1:8" s="86" customFormat="1" ht="20.100000000000001" customHeight="1" x14ac:dyDescent="0.25">
      <c r="A187" s="114" t="s">
        <v>20</v>
      </c>
      <c r="B187" s="114">
        <f t="shared" si="2"/>
        <v>184</v>
      </c>
      <c r="C187" s="115" t="s">
        <v>357</v>
      </c>
      <c r="D187" s="116">
        <v>41473</v>
      </c>
      <c r="E187" s="113" t="s">
        <v>634</v>
      </c>
      <c r="F187" s="117">
        <v>15</v>
      </c>
      <c r="G187" s="118">
        <v>466.1</v>
      </c>
      <c r="H187" s="115" t="s">
        <v>642</v>
      </c>
    </row>
    <row r="188" spans="1:8" s="86" customFormat="1" ht="20.100000000000001" customHeight="1" x14ac:dyDescent="0.25">
      <c r="A188" s="114" t="s">
        <v>20</v>
      </c>
      <c r="B188" s="114">
        <f t="shared" si="2"/>
        <v>185</v>
      </c>
      <c r="C188" s="115" t="s">
        <v>358</v>
      </c>
      <c r="D188" s="116">
        <v>41486</v>
      </c>
      <c r="E188" s="113" t="s">
        <v>634</v>
      </c>
      <c r="F188" s="117">
        <v>15</v>
      </c>
      <c r="G188" s="118">
        <v>466.1</v>
      </c>
      <c r="H188" s="115" t="s">
        <v>68</v>
      </c>
    </row>
    <row r="189" spans="1:8" s="86" customFormat="1" ht="20.100000000000001" customHeight="1" x14ac:dyDescent="0.25">
      <c r="A189" s="114" t="s">
        <v>20</v>
      </c>
      <c r="B189" s="114">
        <f t="shared" si="2"/>
        <v>186</v>
      </c>
      <c r="C189" s="115" t="s">
        <v>359</v>
      </c>
      <c r="D189" s="116">
        <v>41465</v>
      </c>
      <c r="E189" s="113" t="s">
        <v>634</v>
      </c>
      <c r="F189" s="117">
        <v>15</v>
      </c>
      <c r="G189" s="118">
        <v>466.1</v>
      </c>
      <c r="H189" s="115" t="s">
        <v>42</v>
      </c>
    </row>
    <row r="190" spans="1:8" s="86" customFormat="1" ht="20.100000000000001" customHeight="1" x14ac:dyDescent="0.25">
      <c r="A190" s="114" t="s">
        <v>20</v>
      </c>
      <c r="B190" s="114">
        <f t="shared" si="2"/>
        <v>187</v>
      </c>
      <c r="C190" s="115" t="s">
        <v>360</v>
      </c>
      <c r="D190" s="116">
        <v>41480</v>
      </c>
      <c r="E190" s="113" t="s">
        <v>634</v>
      </c>
      <c r="F190" s="117">
        <v>7</v>
      </c>
      <c r="G190" s="118">
        <v>466.1</v>
      </c>
      <c r="H190" s="115" t="s">
        <v>26</v>
      </c>
    </row>
    <row r="191" spans="1:8" s="86" customFormat="1" ht="20.100000000000001" customHeight="1" x14ac:dyDescent="0.25">
      <c r="A191" s="114" t="s">
        <v>20</v>
      </c>
      <c r="B191" s="114">
        <f t="shared" si="2"/>
        <v>188</v>
      </c>
      <c r="C191" s="115" t="s">
        <v>361</v>
      </c>
      <c r="D191" s="116">
        <v>41477</v>
      </c>
      <c r="E191" s="113" t="s">
        <v>634</v>
      </c>
      <c r="F191" s="117">
        <v>7</v>
      </c>
      <c r="G191" s="118">
        <v>466.1</v>
      </c>
      <c r="H191" s="115" t="s">
        <v>128</v>
      </c>
    </row>
    <row r="192" spans="1:8" s="86" customFormat="1" ht="20.100000000000001" customHeight="1" x14ac:dyDescent="0.25">
      <c r="A192" s="114" t="s">
        <v>20</v>
      </c>
      <c r="B192" s="114">
        <f t="shared" si="2"/>
        <v>189</v>
      </c>
      <c r="C192" s="115" t="s">
        <v>362</v>
      </c>
      <c r="D192" s="116">
        <v>41486</v>
      </c>
      <c r="E192" s="113" t="s">
        <v>634</v>
      </c>
      <c r="F192" s="117">
        <v>7</v>
      </c>
      <c r="G192" s="118">
        <v>466.1</v>
      </c>
      <c r="H192" s="115" t="s">
        <v>128</v>
      </c>
    </row>
    <row r="193" spans="1:8" s="86" customFormat="1" ht="20.100000000000001" customHeight="1" x14ac:dyDescent="0.25">
      <c r="A193" s="114" t="s">
        <v>20</v>
      </c>
      <c r="B193" s="114">
        <f t="shared" si="2"/>
        <v>190</v>
      </c>
      <c r="C193" s="115" t="s">
        <v>363</v>
      </c>
      <c r="D193" s="116">
        <v>41485</v>
      </c>
      <c r="E193" s="113" t="s">
        <v>634</v>
      </c>
      <c r="F193" s="117">
        <v>12</v>
      </c>
      <c r="G193" s="118">
        <v>466.1</v>
      </c>
      <c r="H193" s="115" t="s">
        <v>59</v>
      </c>
    </row>
    <row r="194" spans="1:8" s="86" customFormat="1" ht="20.100000000000001" customHeight="1" x14ac:dyDescent="0.25">
      <c r="A194" s="114" t="s">
        <v>20</v>
      </c>
      <c r="B194" s="114">
        <f t="shared" si="2"/>
        <v>191</v>
      </c>
      <c r="C194" s="115" t="s">
        <v>364</v>
      </c>
      <c r="D194" s="116">
        <v>41485</v>
      </c>
      <c r="E194" s="113" t="s">
        <v>634</v>
      </c>
      <c r="F194" s="117">
        <v>12</v>
      </c>
      <c r="G194" s="118">
        <v>466.1</v>
      </c>
      <c r="H194" s="115" t="s">
        <v>75</v>
      </c>
    </row>
    <row r="195" spans="1:8" s="86" customFormat="1" ht="20.100000000000001" customHeight="1" x14ac:dyDescent="0.25">
      <c r="A195" s="114" t="s">
        <v>20</v>
      </c>
      <c r="B195" s="114">
        <f t="shared" si="2"/>
        <v>192</v>
      </c>
      <c r="C195" s="115" t="s">
        <v>365</v>
      </c>
      <c r="D195" s="116">
        <v>41485</v>
      </c>
      <c r="E195" s="113" t="s">
        <v>634</v>
      </c>
      <c r="F195" s="117">
        <v>15</v>
      </c>
      <c r="G195" s="118">
        <v>466.1</v>
      </c>
      <c r="H195" s="115" t="s">
        <v>69</v>
      </c>
    </row>
    <row r="196" spans="1:8" s="86" customFormat="1" ht="20.100000000000001" customHeight="1" x14ac:dyDescent="0.25">
      <c r="A196" s="114" t="s">
        <v>20</v>
      </c>
      <c r="B196" s="114">
        <f t="shared" si="2"/>
        <v>193</v>
      </c>
      <c r="C196" s="115" t="s">
        <v>366</v>
      </c>
      <c r="D196" s="116">
        <v>41484</v>
      </c>
      <c r="E196" s="113" t="s">
        <v>634</v>
      </c>
      <c r="F196" s="117">
        <v>10</v>
      </c>
      <c r="G196" s="118">
        <v>466.1</v>
      </c>
      <c r="H196" s="115" t="s">
        <v>46</v>
      </c>
    </row>
    <row r="197" spans="1:8" s="86" customFormat="1" ht="20.100000000000001" customHeight="1" x14ac:dyDescent="0.25">
      <c r="A197" s="114" t="s">
        <v>20</v>
      </c>
      <c r="B197" s="114">
        <f t="shared" si="2"/>
        <v>194</v>
      </c>
      <c r="C197" s="115" t="s">
        <v>367</v>
      </c>
      <c r="D197" s="116">
        <v>41486</v>
      </c>
      <c r="E197" s="113" t="s">
        <v>634</v>
      </c>
      <c r="F197" s="117">
        <v>7</v>
      </c>
      <c r="G197" s="118">
        <v>466.1</v>
      </c>
      <c r="H197" s="115" t="s">
        <v>46</v>
      </c>
    </row>
    <row r="198" spans="1:8" s="86" customFormat="1" ht="20.100000000000001" customHeight="1" x14ac:dyDescent="0.25">
      <c r="A198" s="114" t="s">
        <v>20</v>
      </c>
      <c r="B198" s="114">
        <f t="shared" ref="B198:B261" si="3">B197+1</f>
        <v>195</v>
      </c>
      <c r="C198" s="115" t="s">
        <v>368</v>
      </c>
      <c r="D198" s="116">
        <v>41485</v>
      </c>
      <c r="E198" s="113" t="s">
        <v>634</v>
      </c>
      <c r="F198" s="117">
        <v>15</v>
      </c>
      <c r="G198" s="118">
        <v>466.1</v>
      </c>
      <c r="H198" s="115" t="s">
        <v>69</v>
      </c>
    </row>
    <row r="199" spans="1:8" s="86" customFormat="1" ht="20.100000000000001" customHeight="1" x14ac:dyDescent="0.25">
      <c r="A199" s="114" t="s">
        <v>20</v>
      </c>
      <c r="B199" s="114">
        <f t="shared" si="3"/>
        <v>196</v>
      </c>
      <c r="C199" s="115" t="s">
        <v>369</v>
      </c>
      <c r="D199" s="116">
        <v>41484</v>
      </c>
      <c r="E199" s="113" t="s">
        <v>634</v>
      </c>
      <c r="F199" s="117">
        <v>8</v>
      </c>
      <c r="G199" s="118">
        <v>466.1</v>
      </c>
      <c r="H199" s="115" t="s">
        <v>69</v>
      </c>
    </row>
    <row r="200" spans="1:8" s="86" customFormat="1" ht="20.100000000000001" customHeight="1" x14ac:dyDescent="0.25">
      <c r="A200" s="114" t="s">
        <v>20</v>
      </c>
      <c r="B200" s="114">
        <f t="shared" si="3"/>
        <v>197</v>
      </c>
      <c r="C200" s="115" t="s">
        <v>370</v>
      </c>
      <c r="D200" s="116">
        <v>41485</v>
      </c>
      <c r="E200" s="113" t="s">
        <v>634</v>
      </c>
      <c r="F200" s="117">
        <v>7</v>
      </c>
      <c r="G200" s="118">
        <v>466.1</v>
      </c>
      <c r="H200" s="115" t="s">
        <v>70</v>
      </c>
    </row>
    <row r="201" spans="1:8" s="86" customFormat="1" ht="20.100000000000001" customHeight="1" x14ac:dyDescent="0.25">
      <c r="A201" s="114" t="s">
        <v>20</v>
      </c>
      <c r="B201" s="114">
        <f t="shared" si="3"/>
        <v>198</v>
      </c>
      <c r="C201" s="115" t="s">
        <v>371</v>
      </c>
      <c r="D201" s="116">
        <v>41485</v>
      </c>
      <c r="E201" s="113" t="s">
        <v>634</v>
      </c>
      <c r="F201" s="117">
        <v>6</v>
      </c>
      <c r="G201" s="118">
        <v>466.1</v>
      </c>
      <c r="H201" s="115" t="s">
        <v>636</v>
      </c>
    </row>
    <row r="202" spans="1:8" s="86" customFormat="1" ht="20.100000000000001" customHeight="1" x14ac:dyDescent="0.25">
      <c r="A202" s="114" t="s">
        <v>20</v>
      </c>
      <c r="B202" s="114">
        <f t="shared" si="3"/>
        <v>199</v>
      </c>
      <c r="C202" s="115" t="s">
        <v>372</v>
      </c>
      <c r="D202" s="116">
        <v>41485</v>
      </c>
      <c r="E202" s="113" t="s">
        <v>634</v>
      </c>
      <c r="F202" s="117">
        <v>15</v>
      </c>
      <c r="G202" s="118">
        <v>466.1</v>
      </c>
      <c r="H202" s="115" t="s">
        <v>42</v>
      </c>
    </row>
    <row r="203" spans="1:8" s="86" customFormat="1" ht="20.100000000000001" customHeight="1" x14ac:dyDescent="0.25">
      <c r="A203" s="114" t="s">
        <v>20</v>
      </c>
      <c r="B203" s="114">
        <f t="shared" si="3"/>
        <v>200</v>
      </c>
      <c r="C203" s="115" t="s">
        <v>373</v>
      </c>
      <c r="D203" s="116">
        <v>41486</v>
      </c>
      <c r="E203" s="113" t="s">
        <v>634</v>
      </c>
      <c r="F203" s="117">
        <v>15</v>
      </c>
      <c r="G203" s="118">
        <v>466.1</v>
      </c>
      <c r="H203" s="115" t="s">
        <v>69</v>
      </c>
    </row>
    <row r="204" spans="1:8" s="86" customFormat="1" ht="20.100000000000001" customHeight="1" x14ac:dyDescent="0.25">
      <c r="A204" s="114" t="s">
        <v>20</v>
      </c>
      <c r="B204" s="114">
        <f t="shared" si="3"/>
        <v>201</v>
      </c>
      <c r="C204" s="115" t="s">
        <v>374</v>
      </c>
      <c r="D204" s="116">
        <v>41484</v>
      </c>
      <c r="E204" s="113" t="s">
        <v>634</v>
      </c>
      <c r="F204" s="117">
        <v>3</v>
      </c>
      <c r="G204" s="118">
        <v>466.1</v>
      </c>
      <c r="H204" s="115" t="s">
        <v>89</v>
      </c>
    </row>
    <row r="205" spans="1:8" s="86" customFormat="1" ht="20.100000000000001" customHeight="1" x14ac:dyDescent="0.25">
      <c r="A205" s="114" t="s">
        <v>20</v>
      </c>
      <c r="B205" s="114">
        <f t="shared" si="3"/>
        <v>202</v>
      </c>
      <c r="C205" s="115" t="s">
        <v>375</v>
      </c>
      <c r="D205" s="116">
        <v>41456</v>
      </c>
      <c r="E205" s="113" t="s">
        <v>635</v>
      </c>
      <c r="F205" s="117">
        <v>57</v>
      </c>
      <c r="G205" s="118">
        <v>588126</v>
      </c>
      <c r="H205" s="115" t="s">
        <v>647</v>
      </c>
    </row>
    <row r="206" spans="1:8" s="86" customFormat="1" ht="20.100000000000001" customHeight="1" x14ac:dyDescent="0.25">
      <c r="A206" s="114" t="s">
        <v>20</v>
      </c>
      <c r="B206" s="114">
        <f t="shared" si="3"/>
        <v>203</v>
      </c>
      <c r="C206" s="115" t="s">
        <v>376</v>
      </c>
      <c r="D206" s="116">
        <v>41463</v>
      </c>
      <c r="E206" s="113" t="s">
        <v>634</v>
      </c>
      <c r="F206" s="117">
        <v>7</v>
      </c>
      <c r="G206" s="118">
        <v>466.1</v>
      </c>
      <c r="H206" s="115" t="s">
        <v>150</v>
      </c>
    </row>
    <row r="207" spans="1:8" s="86" customFormat="1" ht="20.100000000000001" customHeight="1" x14ac:dyDescent="0.25">
      <c r="A207" s="114" t="s">
        <v>20</v>
      </c>
      <c r="B207" s="114">
        <f t="shared" si="3"/>
        <v>204</v>
      </c>
      <c r="C207" s="115" t="s">
        <v>377</v>
      </c>
      <c r="D207" s="116">
        <v>41456</v>
      </c>
      <c r="E207" s="113" t="s">
        <v>634</v>
      </c>
      <c r="F207" s="117">
        <v>7</v>
      </c>
      <c r="G207" s="118">
        <v>466.1</v>
      </c>
      <c r="H207" s="115" t="s">
        <v>150</v>
      </c>
    </row>
    <row r="208" spans="1:8" s="86" customFormat="1" ht="20.100000000000001" customHeight="1" x14ac:dyDescent="0.25">
      <c r="A208" s="114" t="s">
        <v>20</v>
      </c>
      <c r="B208" s="114">
        <f t="shared" si="3"/>
        <v>205</v>
      </c>
      <c r="C208" s="115" t="s">
        <v>378</v>
      </c>
      <c r="D208" s="116">
        <v>41471</v>
      </c>
      <c r="E208" s="113" t="s">
        <v>634</v>
      </c>
      <c r="F208" s="117">
        <v>12</v>
      </c>
      <c r="G208" s="118">
        <v>466.1</v>
      </c>
      <c r="H208" s="115" t="s">
        <v>35</v>
      </c>
    </row>
    <row r="209" spans="1:8" s="86" customFormat="1" ht="20.100000000000001" customHeight="1" x14ac:dyDescent="0.25">
      <c r="A209" s="114" t="s">
        <v>20</v>
      </c>
      <c r="B209" s="114">
        <f t="shared" si="3"/>
        <v>206</v>
      </c>
      <c r="C209" s="115" t="s">
        <v>379</v>
      </c>
      <c r="D209" s="116">
        <v>41486</v>
      </c>
      <c r="E209" s="113" t="s">
        <v>634</v>
      </c>
      <c r="F209" s="117">
        <v>15</v>
      </c>
      <c r="G209" s="118">
        <v>466.1</v>
      </c>
      <c r="H209" s="115" t="s">
        <v>150</v>
      </c>
    </row>
    <row r="210" spans="1:8" s="86" customFormat="1" ht="20.100000000000001" customHeight="1" x14ac:dyDescent="0.25">
      <c r="A210" s="114" t="s">
        <v>20</v>
      </c>
      <c r="B210" s="114">
        <f t="shared" si="3"/>
        <v>207</v>
      </c>
      <c r="C210" s="115" t="s">
        <v>380</v>
      </c>
      <c r="D210" s="116">
        <v>41486</v>
      </c>
      <c r="E210" s="113" t="s">
        <v>635</v>
      </c>
      <c r="F210" s="117">
        <v>205</v>
      </c>
      <c r="G210" s="118">
        <v>42435</v>
      </c>
      <c r="H210" s="115" t="s">
        <v>150</v>
      </c>
    </row>
    <row r="211" spans="1:8" s="86" customFormat="1" ht="20.100000000000001" customHeight="1" x14ac:dyDescent="0.25">
      <c r="A211" s="114" t="s">
        <v>20</v>
      </c>
      <c r="B211" s="114">
        <f t="shared" si="3"/>
        <v>208</v>
      </c>
      <c r="C211" s="115" t="s">
        <v>381</v>
      </c>
      <c r="D211" s="116">
        <v>41459</v>
      </c>
      <c r="E211" s="113" t="s">
        <v>634</v>
      </c>
      <c r="F211" s="117">
        <v>7</v>
      </c>
      <c r="G211" s="118">
        <v>466.1</v>
      </c>
      <c r="H211" s="115" t="s">
        <v>35</v>
      </c>
    </row>
    <row r="212" spans="1:8" s="86" customFormat="1" ht="20.100000000000001" customHeight="1" x14ac:dyDescent="0.25">
      <c r="A212" s="114" t="s">
        <v>20</v>
      </c>
      <c r="B212" s="114">
        <f t="shared" si="3"/>
        <v>209</v>
      </c>
      <c r="C212" s="115" t="s">
        <v>382</v>
      </c>
      <c r="D212" s="116">
        <v>41467</v>
      </c>
      <c r="E212" s="113" t="s">
        <v>634</v>
      </c>
      <c r="F212" s="117">
        <v>5</v>
      </c>
      <c r="G212" s="118">
        <v>466.1</v>
      </c>
      <c r="H212" s="115" t="s">
        <v>23</v>
      </c>
    </row>
    <row r="213" spans="1:8" s="86" customFormat="1" ht="20.100000000000001" customHeight="1" x14ac:dyDescent="0.25">
      <c r="A213" s="114" t="s">
        <v>20</v>
      </c>
      <c r="B213" s="114">
        <f t="shared" si="3"/>
        <v>210</v>
      </c>
      <c r="C213" s="115" t="s">
        <v>383</v>
      </c>
      <c r="D213" s="116">
        <v>41456</v>
      </c>
      <c r="E213" s="113" t="s">
        <v>634</v>
      </c>
      <c r="F213" s="117">
        <v>15</v>
      </c>
      <c r="G213" s="118">
        <v>466.1</v>
      </c>
      <c r="H213" s="115" t="s">
        <v>135</v>
      </c>
    </row>
    <row r="214" spans="1:8" s="86" customFormat="1" ht="20.100000000000001" customHeight="1" x14ac:dyDescent="0.25">
      <c r="A214" s="114" t="s">
        <v>20</v>
      </c>
      <c r="B214" s="114">
        <f t="shared" si="3"/>
        <v>211</v>
      </c>
      <c r="C214" s="115" t="s">
        <v>384</v>
      </c>
      <c r="D214" s="116">
        <v>41472</v>
      </c>
      <c r="E214" s="113" t="s">
        <v>634</v>
      </c>
      <c r="F214" s="117">
        <v>15</v>
      </c>
      <c r="G214" s="118">
        <v>466.1</v>
      </c>
      <c r="H214" s="115" t="s">
        <v>135</v>
      </c>
    </row>
    <row r="215" spans="1:8" s="86" customFormat="1" ht="20.100000000000001" customHeight="1" x14ac:dyDescent="0.25">
      <c r="A215" s="114" t="s">
        <v>20</v>
      </c>
      <c r="B215" s="114">
        <f t="shared" si="3"/>
        <v>212</v>
      </c>
      <c r="C215" s="115" t="s">
        <v>385</v>
      </c>
      <c r="D215" s="116">
        <v>41457</v>
      </c>
      <c r="E215" s="113" t="s">
        <v>634</v>
      </c>
      <c r="F215" s="117">
        <v>12</v>
      </c>
      <c r="G215" s="118">
        <v>466.1</v>
      </c>
      <c r="H215" s="115" t="s">
        <v>35</v>
      </c>
    </row>
    <row r="216" spans="1:8" s="86" customFormat="1" ht="20.100000000000001" customHeight="1" x14ac:dyDescent="0.25">
      <c r="A216" s="114" t="s">
        <v>20</v>
      </c>
      <c r="B216" s="114">
        <f t="shared" si="3"/>
        <v>213</v>
      </c>
      <c r="C216" s="115" t="s">
        <v>386</v>
      </c>
      <c r="D216" s="116">
        <v>41459</v>
      </c>
      <c r="E216" s="113" t="s">
        <v>634</v>
      </c>
      <c r="F216" s="117">
        <v>12</v>
      </c>
      <c r="G216" s="118">
        <v>466.1</v>
      </c>
      <c r="H216" s="115" t="s">
        <v>31</v>
      </c>
    </row>
    <row r="217" spans="1:8" s="86" customFormat="1" ht="20.100000000000001" customHeight="1" x14ac:dyDescent="0.25">
      <c r="A217" s="114" t="s">
        <v>20</v>
      </c>
      <c r="B217" s="114">
        <f t="shared" si="3"/>
        <v>214</v>
      </c>
      <c r="C217" s="115" t="s">
        <v>387</v>
      </c>
      <c r="D217" s="116">
        <v>41459</v>
      </c>
      <c r="E217" s="113" t="s">
        <v>634</v>
      </c>
      <c r="F217" s="117">
        <v>15</v>
      </c>
      <c r="G217" s="118">
        <v>466.1</v>
      </c>
      <c r="H217" s="115" t="s">
        <v>35</v>
      </c>
    </row>
    <row r="218" spans="1:8" s="86" customFormat="1" ht="20.100000000000001" customHeight="1" x14ac:dyDescent="0.25">
      <c r="A218" s="114" t="s">
        <v>20</v>
      </c>
      <c r="B218" s="114">
        <f t="shared" si="3"/>
        <v>215</v>
      </c>
      <c r="C218" s="115" t="s">
        <v>388</v>
      </c>
      <c r="D218" s="116">
        <v>41457</v>
      </c>
      <c r="E218" s="113" t="s">
        <v>634</v>
      </c>
      <c r="F218" s="117">
        <v>5</v>
      </c>
      <c r="G218" s="118">
        <v>466.1</v>
      </c>
      <c r="H218" s="115" t="s">
        <v>35</v>
      </c>
    </row>
    <row r="219" spans="1:8" s="86" customFormat="1" ht="20.100000000000001" customHeight="1" x14ac:dyDescent="0.25">
      <c r="A219" s="114" t="s">
        <v>20</v>
      </c>
      <c r="B219" s="114">
        <f t="shared" si="3"/>
        <v>216</v>
      </c>
      <c r="C219" s="115" t="s">
        <v>389</v>
      </c>
      <c r="D219" s="116">
        <v>41457</v>
      </c>
      <c r="E219" s="113" t="s">
        <v>634</v>
      </c>
      <c r="F219" s="117">
        <v>12</v>
      </c>
      <c r="G219" s="118">
        <v>466.1</v>
      </c>
      <c r="H219" s="115" t="s">
        <v>31</v>
      </c>
    </row>
    <row r="220" spans="1:8" s="86" customFormat="1" ht="20.100000000000001" customHeight="1" x14ac:dyDescent="0.25">
      <c r="A220" s="114" t="s">
        <v>20</v>
      </c>
      <c r="B220" s="114">
        <f t="shared" si="3"/>
        <v>217</v>
      </c>
      <c r="C220" s="115" t="s">
        <v>390</v>
      </c>
      <c r="D220" s="116">
        <v>41458</v>
      </c>
      <c r="E220" s="113" t="s">
        <v>634</v>
      </c>
      <c r="F220" s="117">
        <v>12</v>
      </c>
      <c r="G220" s="118">
        <v>466.1</v>
      </c>
      <c r="H220" s="115" t="s">
        <v>35</v>
      </c>
    </row>
    <row r="221" spans="1:8" s="86" customFormat="1" ht="20.100000000000001" customHeight="1" x14ac:dyDescent="0.25">
      <c r="A221" s="114" t="s">
        <v>20</v>
      </c>
      <c r="B221" s="114">
        <f t="shared" si="3"/>
        <v>218</v>
      </c>
      <c r="C221" s="115" t="s">
        <v>391</v>
      </c>
      <c r="D221" s="116">
        <v>41457</v>
      </c>
      <c r="E221" s="113" t="s">
        <v>634</v>
      </c>
      <c r="F221" s="117">
        <v>5</v>
      </c>
      <c r="G221" s="118">
        <v>466.1</v>
      </c>
      <c r="H221" s="115" t="s">
        <v>140</v>
      </c>
    </row>
    <row r="222" spans="1:8" s="86" customFormat="1" ht="20.100000000000001" customHeight="1" x14ac:dyDescent="0.25">
      <c r="A222" s="114" t="s">
        <v>20</v>
      </c>
      <c r="B222" s="114">
        <f t="shared" si="3"/>
        <v>219</v>
      </c>
      <c r="C222" s="115" t="s">
        <v>392</v>
      </c>
      <c r="D222" s="116">
        <v>41458</v>
      </c>
      <c r="E222" s="113" t="s">
        <v>634</v>
      </c>
      <c r="F222" s="117">
        <v>6.3</v>
      </c>
      <c r="G222" s="118">
        <v>466.1</v>
      </c>
      <c r="H222" s="115" t="s">
        <v>76</v>
      </c>
    </row>
    <row r="223" spans="1:8" s="86" customFormat="1" ht="20.100000000000001" customHeight="1" x14ac:dyDescent="0.25">
      <c r="A223" s="114" t="s">
        <v>20</v>
      </c>
      <c r="B223" s="114">
        <f t="shared" si="3"/>
        <v>220</v>
      </c>
      <c r="C223" s="115" t="s">
        <v>393</v>
      </c>
      <c r="D223" s="116">
        <v>41460</v>
      </c>
      <c r="E223" s="113" t="s">
        <v>634</v>
      </c>
      <c r="F223" s="117">
        <v>10</v>
      </c>
      <c r="G223" s="118">
        <v>466.1</v>
      </c>
      <c r="H223" s="115" t="s">
        <v>56</v>
      </c>
    </row>
    <row r="224" spans="1:8" s="86" customFormat="1" ht="20.100000000000001" customHeight="1" x14ac:dyDescent="0.25">
      <c r="A224" s="114" t="s">
        <v>20</v>
      </c>
      <c r="B224" s="114">
        <f t="shared" si="3"/>
        <v>221</v>
      </c>
      <c r="C224" s="115" t="s">
        <v>394</v>
      </c>
      <c r="D224" s="116">
        <v>41463</v>
      </c>
      <c r="E224" s="113" t="s">
        <v>634</v>
      </c>
      <c r="F224" s="117">
        <v>5</v>
      </c>
      <c r="G224" s="118">
        <v>466.1</v>
      </c>
      <c r="H224" s="115" t="s">
        <v>56</v>
      </c>
    </row>
    <row r="225" spans="1:8" s="86" customFormat="1" ht="20.100000000000001" customHeight="1" x14ac:dyDescent="0.25">
      <c r="A225" s="114" t="s">
        <v>20</v>
      </c>
      <c r="B225" s="114">
        <f t="shared" si="3"/>
        <v>222</v>
      </c>
      <c r="C225" s="115" t="s">
        <v>395</v>
      </c>
      <c r="D225" s="116">
        <v>41458</v>
      </c>
      <c r="E225" s="113" t="s">
        <v>634</v>
      </c>
      <c r="F225" s="117">
        <v>12</v>
      </c>
      <c r="G225" s="118">
        <v>466.1</v>
      </c>
      <c r="H225" s="115" t="s">
        <v>35</v>
      </c>
    </row>
    <row r="226" spans="1:8" s="86" customFormat="1" ht="20.100000000000001" customHeight="1" x14ac:dyDescent="0.25">
      <c r="A226" s="114" t="s">
        <v>20</v>
      </c>
      <c r="B226" s="114">
        <f t="shared" si="3"/>
        <v>223</v>
      </c>
      <c r="C226" s="115" t="s">
        <v>396</v>
      </c>
      <c r="D226" s="116">
        <v>41470</v>
      </c>
      <c r="E226" s="113" t="s">
        <v>634</v>
      </c>
      <c r="F226" s="117">
        <v>15</v>
      </c>
      <c r="G226" s="118">
        <v>466.1</v>
      </c>
      <c r="H226" s="115" t="s">
        <v>60</v>
      </c>
    </row>
    <row r="227" spans="1:8" s="86" customFormat="1" ht="20.100000000000001" customHeight="1" x14ac:dyDescent="0.25">
      <c r="A227" s="114" t="s">
        <v>20</v>
      </c>
      <c r="B227" s="114">
        <f t="shared" si="3"/>
        <v>224</v>
      </c>
      <c r="C227" s="115" t="s">
        <v>397</v>
      </c>
      <c r="D227" s="116">
        <v>41471</v>
      </c>
      <c r="E227" s="113" t="s">
        <v>634</v>
      </c>
      <c r="F227" s="117">
        <v>12</v>
      </c>
      <c r="G227" s="118">
        <v>466.1</v>
      </c>
      <c r="H227" s="115" t="s">
        <v>23</v>
      </c>
    </row>
    <row r="228" spans="1:8" s="86" customFormat="1" ht="20.100000000000001" customHeight="1" x14ac:dyDescent="0.25">
      <c r="A228" s="114" t="s">
        <v>20</v>
      </c>
      <c r="B228" s="114">
        <f t="shared" si="3"/>
        <v>225</v>
      </c>
      <c r="C228" s="115" t="s">
        <v>398</v>
      </c>
      <c r="D228" s="116">
        <v>41485</v>
      </c>
      <c r="E228" s="113" t="s">
        <v>634</v>
      </c>
      <c r="F228" s="117">
        <v>15</v>
      </c>
      <c r="G228" s="118">
        <v>466.1</v>
      </c>
      <c r="H228" s="115" t="s">
        <v>149</v>
      </c>
    </row>
    <row r="229" spans="1:8" s="86" customFormat="1" ht="20.100000000000001" customHeight="1" x14ac:dyDescent="0.25">
      <c r="A229" s="114" t="s">
        <v>20</v>
      </c>
      <c r="B229" s="114">
        <f t="shared" si="3"/>
        <v>226</v>
      </c>
      <c r="C229" s="115" t="s">
        <v>399</v>
      </c>
      <c r="D229" s="116">
        <v>41485</v>
      </c>
      <c r="E229" s="113" t="s">
        <v>634</v>
      </c>
      <c r="F229" s="117">
        <v>15</v>
      </c>
      <c r="G229" s="118">
        <v>466.1</v>
      </c>
      <c r="H229" s="115" t="s">
        <v>149</v>
      </c>
    </row>
    <row r="230" spans="1:8" s="86" customFormat="1" ht="20.100000000000001" customHeight="1" x14ac:dyDescent="0.25">
      <c r="A230" s="114" t="s">
        <v>20</v>
      </c>
      <c r="B230" s="114">
        <f t="shared" si="3"/>
        <v>227</v>
      </c>
      <c r="C230" s="115" t="s">
        <v>400</v>
      </c>
      <c r="D230" s="116">
        <v>41478</v>
      </c>
      <c r="E230" s="113" t="s">
        <v>634</v>
      </c>
      <c r="F230" s="117">
        <v>12</v>
      </c>
      <c r="G230" s="118">
        <v>466.1</v>
      </c>
      <c r="H230" s="115" t="s">
        <v>648</v>
      </c>
    </row>
    <row r="231" spans="1:8" s="86" customFormat="1" ht="20.100000000000001" customHeight="1" x14ac:dyDescent="0.25">
      <c r="A231" s="114" t="s">
        <v>20</v>
      </c>
      <c r="B231" s="114">
        <f t="shared" si="3"/>
        <v>228</v>
      </c>
      <c r="C231" s="115" t="s">
        <v>401</v>
      </c>
      <c r="D231" s="116">
        <v>41474</v>
      </c>
      <c r="E231" s="113" t="s">
        <v>635</v>
      </c>
      <c r="F231" s="117">
        <v>37</v>
      </c>
      <c r="G231" s="118">
        <v>24161</v>
      </c>
      <c r="H231" s="115" t="s">
        <v>60</v>
      </c>
    </row>
    <row r="232" spans="1:8" s="86" customFormat="1" ht="20.100000000000001" customHeight="1" x14ac:dyDescent="0.25">
      <c r="A232" s="114" t="s">
        <v>20</v>
      </c>
      <c r="B232" s="114">
        <f t="shared" si="3"/>
        <v>229</v>
      </c>
      <c r="C232" s="115" t="s">
        <v>402</v>
      </c>
      <c r="D232" s="116">
        <v>41474</v>
      </c>
      <c r="E232" s="113" t="s">
        <v>634</v>
      </c>
      <c r="F232" s="117">
        <v>5</v>
      </c>
      <c r="G232" s="118">
        <v>466.1</v>
      </c>
      <c r="H232" s="115" t="s">
        <v>35</v>
      </c>
    </row>
    <row r="233" spans="1:8" s="86" customFormat="1" ht="20.100000000000001" customHeight="1" x14ac:dyDescent="0.25">
      <c r="A233" s="114" t="s">
        <v>20</v>
      </c>
      <c r="B233" s="114">
        <f t="shared" si="3"/>
        <v>230</v>
      </c>
      <c r="C233" s="115" t="s">
        <v>403</v>
      </c>
      <c r="D233" s="116">
        <v>41474</v>
      </c>
      <c r="E233" s="113" t="s">
        <v>634</v>
      </c>
      <c r="F233" s="117">
        <v>12</v>
      </c>
      <c r="G233" s="118">
        <v>466.1</v>
      </c>
      <c r="H233" s="115" t="s">
        <v>23</v>
      </c>
    </row>
    <row r="234" spans="1:8" s="86" customFormat="1" ht="20.100000000000001" customHeight="1" x14ac:dyDescent="0.25">
      <c r="A234" s="114" t="s">
        <v>20</v>
      </c>
      <c r="B234" s="114">
        <f t="shared" si="3"/>
        <v>231</v>
      </c>
      <c r="C234" s="115" t="s">
        <v>404</v>
      </c>
      <c r="D234" s="116">
        <v>41479</v>
      </c>
      <c r="E234" s="113" t="s">
        <v>634</v>
      </c>
      <c r="F234" s="117">
        <v>15</v>
      </c>
      <c r="G234" s="118">
        <v>466.1</v>
      </c>
      <c r="H234" s="115" t="s">
        <v>126</v>
      </c>
    </row>
    <row r="235" spans="1:8" s="86" customFormat="1" ht="20.100000000000001" customHeight="1" x14ac:dyDescent="0.25">
      <c r="A235" s="114" t="s">
        <v>20</v>
      </c>
      <c r="B235" s="114">
        <f t="shared" si="3"/>
        <v>232</v>
      </c>
      <c r="C235" s="115" t="s">
        <v>405</v>
      </c>
      <c r="D235" s="116">
        <v>41478</v>
      </c>
      <c r="E235" s="113" t="s">
        <v>634</v>
      </c>
      <c r="F235" s="117">
        <v>15</v>
      </c>
      <c r="G235" s="118">
        <v>466.1</v>
      </c>
      <c r="H235" s="115" t="s">
        <v>111</v>
      </c>
    </row>
    <row r="236" spans="1:8" s="86" customFormat="1" ht="20.100000000000001" customHeight="1" x14ac:dyDescent="0.25">
      <c r="A236" s="114" t="s">
        <v>20</v>
      </c>
      <c r="B236" s="114">
        <f t="shared" si="3"/>
        <v>233</v>
      </c>
      <c r="C236" s="115" t="s">
        <v>406</v>
      </c>
      <c r="D236" s="116">
        <v>41479</v>
      </c>
      <c r="E236" s="113" t="s">
        <v>634</v>
      </c>
      <c r="F236" s="117">
        <v>5</v>
      </c>
      <c r="G236" s="118">
        <v>466.1</v>
      </c>
      <c r="H236" s="115" t="s">
        <v>56</v>
      </c>
    </row>
    <row r="237" spans="1:8" s="86" customFormat="1" ht="20.100000000000001" customHeight="1" x14ac:dyDescent="0.25">
      <c r="A237" s="114" t="s">
        <v>20</v>
      </c>
      <c r="B237" s="114">
        <f t="shared" si="3"/>
        <v>234</v>
      </c>
      <c r="C237" s="115" t="s">
        <v>407</v>
      </c>
      <c r="D237" s="116">
        <v>41473</v>
      </c>
      <c r="E237" s="113" t="s">
        <v>634</v>
      </c>
      <c r="F237" s="117">
        <v>12</v>
      </c>
      <c r="G237" s="118">
        <v>466.1</v>
      </c>
      <c r="H237" s="115" t="s">
        <v>23</v>
      </c>
    </row>
    <row r="238" spans="1:8" s="86" customFormat="1" ht="20.100000000000001" customHeight="1" x14ac:dyDescent="0.25">
      <c r="A238" s="114" t="s">
        <v>20</v>
      </c>
      <c r="B238" s="114">
        <f t="shared" si="3"/>
        <v>235</v>
      </c>
      <c r="C238" s="115" t="s">
        <v>408</v>
      </c>
      <c r="D238" s="116">
        <v>41485</v>
      </c>
      <c r="E238" s="113" t="s">
        <v>634</v>
      </c>
      <c r="F238" s="117">
        <v>12</v>
      </c>
      <c r="G238" s="118">
        <v>466.1</v>
      </c>
      <c r="H238" s="115" t="s">
        <v>23</v>
      </c>
    </row>
    <row r="239" spans="1:8" s="86" customFormat="1" ht="20.100000000000001" customHeight="1" x14ac:dyDescent="0.25">
      <c r="A239" s="114" t="s">
        <v>20</v>
      </c>
      <c r="B239" s="114">
        <f t="shared" si="3"/>
        <v>236</v>
      </c>
      <c r="C239" s="115" t="s">
        <v>409</v>
      </c>
      <c r="D239" s="116">
        <v>41484</v>
      </c>
      <c r="E239" s="113" t="s">
        <v>634</v>
      </c>
      <c r="F239" s="117">
        <v>7</v>
      </c>
      <c r="G239" s="118">
        <v>466.1</v>
      </c>
      <c r="H239" s="115" t="s">
        <v>120</v>
      </c>
    </row>
    <row r="240" spans="1:8" s="86" customFormat="1" ht="20.100000000000001" customHeight="1" x14ac:dyDescent="0.25">
      <c r="A240" s="114" t="s">
        <v>20</v>
      </c>
      <c r="B240" s="114">
        <f t="shared" si="3"/>
        <v>237</v>
      </c>
      <c r="C240" s="115" t="s">
        <v>410</v>
      </c>
      <c r="D240" s="116">
        <v>41484</v>
      </c>
      <c r="E240" s="113" t="s">
        <v>634</v>
      </c>
      <c r="F240" s="117">
        <v>7</v>
      </c>
      <c r="G240" s="118">
        <v>466.1</v>
      </c>
      <c r="H240" s="115" t="s">
        <v>120</v>
      </c>
    </row>
    <row r="241" spans="1:8" s="86" customFormat="1" ht="20.100000000000001" customHeight="1" x14ac:dyDescent="0.25">
      <c r="A241" s="114" t="s">
        <v>20</v>
      </c>
      <c r="B241" s="114">
        <f t="shared" si="3"/>
        <v>238</v>
      </c>
      <c r="C241" s="115" t="s">
        <v>411</v>
      </c>
      <c r="D241" s="116">
        <v>41478</v>
      </c>
      <c r="E241" s="113" t="s">
        <v>634</v>
      </c>
      <c r="F241" s="117">
        <v>3</v>
      </c>
      <c r="G241" s="118">
        <v>466.1</v>
      </c>
      <c r="H241" s="115" t="s">
        <v>116</v>
      </c>
    </row>
    <row r="242" spans="1:8" s="86" customFormat="1" ht="20.100000000000001" customHeight="1" x14ac:dyDescent="0.25">
      <c r="A242" s="114" t="s">
        <v>20</v>
      </c>
      <c r="B242" s="114">
        <f t="shared" si="3"/>
        <v>239</v>
      </c>
      <c r="C242" s="115" t="s">
        <v>412</v>
      </c>
      <c r="D242" s="116">
        <v>41457</v>
      </c>
      <c r="E242" s="113" t="s">
        <v>634</v>
      </c>
      <c r="F242" s="117">
        <v>14.9</v>
      </c>
      <c r="G242" s="118">
        <v>466.1</v>
      </c>
      <c r="H242" s="115" t="s">
        <v>73</v>
      </c>
    </row>
    <row r="243" spans="1:8" s="86" customFormat="1" ht="20.100000000000001" customHeight="1" x14ac:dyDescent="0.25">
      <c r="A243" s="114" t="s">
        <v>20</v>
      </c>
      <c r="B243" s="114">
        <f t="shared" si="3"/>
        <v>240</v>
      </c>
      <c r="C243" s="115" t="s">
        <v>413</v>
      </c>
      <c r="D243" s="116">
        <v>41485</v>
      </c>
      <c r="E243" s="113" t="s">
        <v>634</v>
      </c>
      <c r="F243" s="117">
        <v>15</v>
      </c>
      <c r="G243" s="118">
        <v>466.1</v>
      </c>
      <c r="H243" s="115" t="s">
        <v>649</v>
      </c>
    </row>
    <row r="244" spans="1:8" s="86" customFormat="1" ht="20.100000000000001" customHeight="1" x14ac:dyDescent="0.25">
      <c r="A244" s="114" t="s">
        <v>20</v>
      </c>
      <c r="B244" s="114">
        <f t="shared" si="3"/>
        <v>241</v>
      </c>
      <c r="C244" s="115" t="s">
        <v>414</v>
      </c>
      <c r="D244" s="116">
        <v>41479</v>
      </c>
      <c r="E244" s="113" t="s">
        <v>634</v>
      </c>
      <c r="F244" s="117">
        <v>15</v>
      </c>
      <c r="G244" s="118">
        <v>466.1</v>
      </c>
      <c r="H244" s="115" t="s">
        <v>138</v>
      </c>
    </row>
    <row r="245" spans="1:8" s="86" customFormat="1" ht="20.100000000000001" customHeight="1" x14ac:dyDescent="0.25">
      <c r="A245" s="114" t="s">
        <v>20</v>
      </c>
      <c r="B245" s="114">
        <f t="shared" si="3"/>
        <v>242</v>
      </c>
      <c r="C245" s="115" t="s">
        <v>415</v>
      </c>
      <c r="D245" s="116">
        <v>41456</v>
      </c>
      <c r="E245" s="113" t="s">
        <v>634</v>
      </c>
      <c r="F245" s="117">
        <v>15</v>
      </c>
      <c r="G245" s="118">
        <v>466.1</v>
      </c>
      <c r="H245" s="115" t="s">
        <v>172</v>
      </c>
    </row>
    <row r="246" spans="1:8" s="86" customFormat="1" ht="20.100000000000001" customHeight="1" x14ac:dyDescent="0.25">
      <c r="A246" s="114" t="s">
        <v>20</v>
      </c>
      <c r="B246" s="114">
        <f t="shared" si="3"/>
        <v>243</v>
      </c>
      <c r="C246" s="115" t="s">
        <v>416</v>
      </c>
      <c r="D246" s="116">
        <v>41459</v>
      </c>
      <c r="E246" s="113" t="s">
        <v>634</v>
      </c>
      <c r="F246" s="117">
        <v>8</v>
      </c>
      <c r="G246" s="118">
        <v>466.1</v>
      </c>
      <c r="H246" s="115" t="s">
        <v>138</v>
      </c>
    </row>
    <row r="247" spans="1:8" s="86" customFormat="1" ht="18.75" customHeight="1" x14ac:dyDescent="0.25">
      <c r="A247" s="114" t="s">
        <v>20</v>
      </c>
      <c r="B247" s="114">
        <f t="shared" si="3"/>
        <v>244</v>
      </c>
      <c r="C247" s="115" t="s">
        <v>417</v>
      </c>
      <c r="D247" s="116">
        <v>41465</v>
      </c>
      <c r="E247" s="113" t="s">
        <v>634</v>
      </c>
      <c r="F247" s="117">
        <v>15</v>
      </c>
      <c r="G247" s="118">
        <v>466.1</v>
      </c>
      <c r="H247" s="115" t="s">
        <v>141</v>
      </c>
    </row>
    <row r="248" spans="1:8" s="86" customFormat="1" ht="20.100000000000001" customHeight="1" x14ac:dyDescent="0.25">
      <c r="A248" s="114" t="s">
        <v>20</v>
      </c>
      <c r="B248" s="114">
        <f t="shared" si="3"/>
        <v>245</v>
      </c>
      <c r="C248" s="115" t="s">
        <v>418</v>
      </c>
      <c r="D248" s="116">
        <v>41466</v>
      </c>
      <c r="E248" s="113" t="s">
        <v>634</v>
      </c>
      <c r="F248" s="117">
        <v>15</v>
      </c>
      <c r="G248" s="118">
        <v>466.1</v>
      </c>
      <c r="H248" s="115" t="s">
        <v>172</v>
      </c>
    </row>
    <row r="249" spans="1:8" s="86" customFormat="1" ht="20.100000000000001" customHeight="1" x14ac:dyDescent="0.25">
      <c r="A249" s="114" t="s">
        <v>20</v>
      </c>
      <c r="B249" s="114">
        <f t="shared" si="3"/>
        <v>246</v>
      </c>
      <c r="C249" s="115" t="s">
        <v>419</v>
      </c>
      <c r="D249" s="116">
        <v>41456</v>
      </c>
      <c r="E249" s="113" t="s">
        <v>634</v>
      </c>
      <c r="F249" s="117">
        <v>6</v>
      </c>
      <c r="G249" s="118">
        <v>466.1</v>
      </c>
      <c r="H249" s="115" t="s">
        <v>73</v>
      </c>
    </row>
    <row r="250" spans="1:8" s="86" customFormat="1" ht="20.100000000000001" customHeight="1" x14ac:dyDescent="0.25">
      <c r="A250" s="114" t="s">
        <v>20</v>
      </c>
      <c r="B250" s="114">
        <f t="shared" si="3"/>
        <v>247</v>
      </c>
      <c r="C250" s="115" t="s">
        <v>420</v>
      </c>
      <c r="D250" s="116">
        <v>41463</v>
      </c>
      <c r="E250" s="113" t="s">
        <v>634</v>
      </c>
      <c r="F250" s="117">
        <v>8</v>
      </c>
      <c r="G250" s="118">
        <v>466.1</v>
      </c>
      <c r="H250" s="115" t="s">
        <v>148</v>
      </c>
    </row>
    <row r="251" spans="1:8" s="86" customFormat="1" ht="20.100000000000001" customHeight="1" x14ac:dyDescent="0.25">
      <c r="A251" s="114" t="s">
        <v>20</v>
      </c>
      <c r="B251" s="114">
        <f t="shared" si="3"/>
        <v>248</v>
      </c>
      <c r="C251" s="115" t="s">
        <v>421</v>
      </c>
      <c r="D251" s="116">
        <v>41457</v>
      </c>
      <c r="E251" s="113" t="s">
        <v>634</v>
      </c>
      <c r="F251" s="117">
        <v>15</v>
      </c>
      <c r="G251" s="118">
        <v>466.1</v>
      </c>
      <c r="H251" s="115" t="s">
        <v>141</v>
      </c>
    </row>
    <row r="252" spans="1:8" s="86" customFormat="1" ht="20.100000000000001" customHeight="1" x14ac:dyDescent="0.25">
      <c r="A252" s="114" t="s">
        <v>20</v>
      </c>
      <c r="B252" s="114">
        <f t="shared" si="3"/>
        <v>249</v>
      </c>
      <c r="C252" s="115" t="s">
        <v>422</v>
      </c>
      <c r="D252" s="116">
        <v>41480</v>
      </c>
      <c r="E252" s="113" t="s">
        <v>635</v>
      </c>
      <c r="F252" s="117">
        <v>98</v>
      </c>
      <c r="G252" s="118">
        <v>5782</v>
      </c>
      <c r="H252" s="115" t="s">
        <v>22</v>
      </c>
    </row>
    <row r="253" spans="1:8" s="86" customFormat="1" ht="20.100000000000001" customHeight="1" x14ac:dyDescent="0.25">
      <c r="A253" s="114" t="s">
        <v>20</v>
      </c>
      <c r="B253" s="114">
        <f t="shared" si="3"/>
        <v>250</v>
      </c>
      <c r="C253" s="115" t="s">
        <v>423</v>
      </c>
      <c r="D253" s="116">
        <v>41458</v>
      </c>
      <c r="E253" s="113" t="s">
        <v>634</v>
      </c>
      <c r="F253" s="117">
        <v>6</v>
      </c>
      <c r="G253" s="118">
        <v>466.1</v>
      </c>
      <c r="H253" s="115" t="s">
        <v>172</v>
      </c>
    </row>
    <row r="254" spans="1:8" s="86" customFormat="1" ht="20.100000000000001" customHeight="1" x14ac:dyDescent="0.25">
      <c r="A254" s="114" t="s">
        <v>20</v>
      </c>
      <c r="B254" s="114">
        <f t="shared" si="3"/>
        <v>251</v>
      </c>
      <c r="C254" s="115" t="s">
        <v>424</v>
      </c>
      <c r="D254" s="116">
        <v>41459</v>
      </c>
      <c r="E254" s="113" t="s">
        <v>634</v>
      </c>
      <c r="F254" s="117">
        <v>6</v>
      </c>
      <c r="G254" s="118">
        <v>466.1</v>
      </c>
      <c r="H254" s="115" t="s">
        <v>172</v>
      </c>
    </row>
    <row r="255" spans="1:8" s="86" customFormat="1" ht="20.100000000000001" customHeight="1" x14ac:dyDescent="0.25">
      <c r="A255" s="114" t="s">
        <v>20</v>
      </c>
      <c r="B255" s="114">
        <f t="shared" si="3"/>
        <v>252</v>
      </c>
      <c r="C255" s="115" t="s">
        <v>425</v>
      </c>
      <c r="D255" s="116">
        <v>41459</v>
      </c>
      <c r="E255" s="113" t="s">
        <v>634</v>
      </c>
      <c r="F255" s="117">
        <v>11</v>
      </c>
      <c r="G255" s="118">
        <v>466.1</v>
      </c>
      <c r="H255" s="115" t="s">
        <v>144</v>
      </c>
    </row>
    <row r="256" spans="1:8" x14ac:dyDescent="0.25">
      <c r="A256" s="114" t="s">
        <v>20</v>
      </c>
      <c r="B256" s="114">
        <f t="shared" si="3"/>
        <v>253</v>
      </c>
      <c r="C256" s="115" t="s">
        <v>426</v>
      </c>
      <c r="D256" s="116">
        <v>41460</v>
      </c>
      <c r="E256" s="113" t="s">
        <v>634</v>
      </c>
      <c r="F256" s="117">
        <v>8</v>
      </c>
      <c r="G256" s="118">
        <v>466.1</v>
      </c>
      <c r="H256" s="115" t="s">
        <v>50</v>
      </c>
    </row>
    <row r="257" spans="1:8" x14ac:dyDescent="0.25">
      <c r="A257" s="114" t="s">
        <v>20</v>
      </c>
      <c r="B257" s="114">
        <f t="shared" si="3"/>
        <v>254</v>
      </c>
      <c r="C257" s="115" t="s">
        <v>427</v>
      </c>
      <c r="D257" s="116">
        <v>41470</v>
      </c>
      <c r="E257" s="113" t="s">
        <v>634</v>
      </c>
      <c r="F257" s="117">
        <v>14.9</v>
      </c>
      <c r="G257" s="118">
        <v>466.1</v>
      </c>
      <c r="H257" s="115" t="s">
        <v>650</v>
      </c>
    </row>
    <row r="258" spans="1:8" x14ac:dyDescent="0.25">
      <c r="A258" s="114" t="s">
        <v>20</v>
      </c>
      <c r="B258" s="114">
        <f t="shared" si="3"/>
        <v>255</v>
      </c>
      <c r="C258" s="115" t="s">
        <v>428</v>
      </c>
      <c r="D258" s="116">
        <v>41472</v>
      </c>
      <c r="E258" s="113" t="s">
        <v>634</v>
      </c>
      <c r="F258" s="117">
        <v>14.9</v>
      </c>
      <c r="G258" s="118">
        <v>466.1</v>
      </c>
      <c r="H258" s="115" t="s">
        <v>172</v>
      </c>
    </row>
    <row r="259" spans="1:8" x14ac:dyDescent="0.25">
      <c r="A259" s="114" t="s">
        <v>20</v>
      </c>
      <c r="B259" s="114">
        <f t="shared" si="3"/>
        <v>256</v>
      </c>
      <c r="C259" s="115" t="s">
        <v>429</v>
      </c>
      <c r="D259" s="116">
        <v>41460</v>
      </c>
      <c r="E259" s="113" t="s">
        <v>635</v>
      </c>
      <c r="F259" s="117">
        <v>234</v>
      </c>
      <c r="G259" s="118">
        <v>13806</v>
      </c>
      <c r="H259" s="115" t="s">
        <v>53</v>
      </c>
    </row>
    <row r="260" spans="1:8" x14ac:dyDescent="0.25">
      <c r="A260" s="114" t="s">
        <v>20</v>
      </c>
      <c r="B260" s="114">
        <f t="shared" si="3"/>
        <v>257</v>
      </c>
      <c r="C260" s="115" t="s">
        <v>430</v>
      </c>
      <c r="D260" s="116">
        <v>41465</v>
      </c>
      <c r="E260" s="113" t="s">
        <v>634</v>
      </c>
      <c r="F260" s="117">
        <v>8</v>
      </c>
      <c r="G260" s="118">
        <v>466.1</v>
      </c>
      <c r="H260" s="115" t="s">
        <v>50</v>
      </c>
    </row>
    <row r="261" spans="1:8" x14ac:dyDescent="0.25">
      <c r="A261" s="114" t="s">
        <v>20</v>
      </c>
      <c r="B261" s="114">
        <f t="shared" si="3"/>
        <v>258</v>
      </c>
      <c r="C261" s="115" t="s">
        <v>431</v>
      </c>
      <c r="D261" s="116">
        <v>41470</v>
      </c>
      <c r="E261" s="113" t="s">
        <v>634</v>
      </c>
      <c r="F261" s="117">
        <v>14.9</v>
      </c>
      <c r="G261" s="118">
        <v>466.1</v>
      </c>
      <c r="H261" s="115" t="s">
        <v>172</v>
      </c>
    </row>
    <row r="262" spans="1:8" x14ac:dyDescent="0.25">
      <c r="A262" s="114" t="s">
        <v>20</v>
      </c>
      <c r="B262" s="114">
        <f t="shared" ref="B262:B325" si="4">B261+1</f>
        <v>259</v>
      </c>
      <c r="C262" s="115" t="s">
        <v>432</v>
      </c>
      <c r="D262" s="116">
        <v>41474</v>
      </c>
      <c r="E262" s="113" t="s">
        <v>634</v>
      </c>
      <c r="F262" s="117">
        <v>25</v>
      </c>
      <c r="G262" s="118">
        <v>16325</v>
      </c>
      <c r="H262" s="115" t="s">
        <v>48</v>
      </c>
    </row>
    <row r="263" spans="1:8" x14ac:dyDescent="0.25">
      <c r="A263" s="114" t="s">
        <v>20</v>
      </c>
      <c r="B263" s="114">
        <f t="shared" si="4"/>
        <v>260</v>
      </c>
      <c r="C263" s="115" t="s">
        <v>433</v>
      </c>
      <c r="D263" s="116">
        <v>41478</v>
      </c>
      <c r="E263" s="113" t="s">
        <v>634</v>
      </c>
      <c r="F263" s="117">
        <v>10</v>
      </c>
      <c r="G263" s="118">
        <v>466.1</v>
      </c>
      <c r="H263" s="115" t="s">
        <v>22</v>
      </c>
    </row>
    <row r="264" spans="1:8" x14ac:dyDescent="0.25">
      <c r="A264" s="114" t="s">
        <v>20</v>
      </c>
      <c r="B264" s="114">
        <f t="shared" si="4"/>
        <v>261</v>
      </c>
      <c r="C264" s="115" t="s">
        <v>434</v>
      </c>
      <c r="D264" s="116">
        <v>41464</v>
      </c>
      <c r="E264" s="113" t="s">
        <v>634</v>
      </c>
      <c r="F264" s="117">
        <v>6</v>
      </c>
      <c r="G264" s="118">
        <v>466.1</v>
      </c>
      <c r="H264" s="115" t="s">
        <v>22</v>
      </c>
    </row>
    <row r="265" spans="1:8" x14ac:dyDescent="0.25">
      <c r="A265" s="114" t="s">
        <v>20</v>
      </c>
      <c r="B265" s="114">
        <f t="shared" si="4"/>
        <v>262</v>
      </c>
      <c r="C265" s="115" t="s">
        <v>435</v>
      </c>
      <c r="D265" s="116">
        <v>41480</v>
      </c>
      <c r="E265" s="113" t="s">
        <v>634</v>
      </c>
      <c r="F265" s="117">
        <v>14.9</v>
      </c>
      <c r="G265" s="118">
        <v>466.1</v>
      </c>
      <c r="H265" s="115" t="s">
        <v>172</v>
      </c>
    </row>
    <row r="266" spans="1:8" x14ac:dyDescent="0.25">
      <c r="A266" s="114" t="s">
        <v>20</v>
      </c>
      <c r="B266" s="114">
        <f t="shared" si="4"/>
        <v>263</v>
      </c>
      <c r="C266" s="115" t="s">
        <v>436</v>
      </c>
      <c r="D266" s="116">
        <v>41456</v>
      </c>
      <c r="E266" s="113" t="s">
        <v>634</v>
      </c>
      <c r="F266" s="117">
        <v>14.9</v>
      </c>
      <c r="G266" s="118">
        <v>466.1</v>
      </c>
      <c r="H266" s="115" t="s">
        <v>650</v>
      </c>
    </row>
    <row r="267" spans="1:8" x14ac:dyDescent="0.25">
      <c r="A267" s="114" t="s">
        <v>20</v>
      </c>
      <c r="B267" s="114">
        <f t="shared" si="4"/>
        <v>264</v>
      </c>
      <c r="C267" s="115" t="s">
        <v>437</v>
      </c>
      <c r="D267" s="116">
        <v>41470</v>
      </c>
      <c r="E267" s="113" t="s">
        <v>634</v>
      </c>
      <c r="F267" s="117">
        <v>15</v>
      </c>
      <c r="G267" s="118">
        <v>466.1</v>
      </c>
      <c r="H267" s="115" t="s">
        <v>651</v>
      </c>
    </row>
    <row r="268" spans="1:8" x14ac:dyDescent="0.25">
      <c r="A268" s="114" t="s">
        <v>20</v>
      </c>
      <c r="B268" s="114">
        <f t="shared" si="4"/>
        <v>265</v>
      </c>
      <c r="C268" s="115" t="s">
        <v>438</v>
      </c>
      <c r="D268" s="116">
        <v>41470</v>
      </c>
      <c r="E268" s="113" t="s">
        <v>635</v>
      </c>
      <c r="F268" s="117">
        <v>55</v>
      </c>
      <c r="G268" s="118">
        <v>35915</v>
      </c>
      <c r="H268" s="115" t="s">
        <v>48</v>
      </c>
    </row>
    <row r="269" spans="1:8" x14ac:dyDescent="0.25">
      <c r="A269" s="114" t="s">
        <v>20</v>
      </c>
      <c r="B269" s="114">
        <f t="shared" si="4"/>
        <v>266</v>
      </c>
      <c r="C269" s="115" t="s">
        <v>439</v>
      </c>
      <c r="D269" s="116">
        <v>41470</v>
      </c>
      <c r="E269" s="113" t="s">
        <v>634</v>
      </c>
      <c r="F269" s="117">
        <v>15</v>
      </c>
      <c r="G269" s="118">
        <v>466.1</v>
      </c>
      <c r="H269" s="115" t="s">
        <v>172</v>
      </c>
    </row>
    <row r="270" spans="1:8" x14ac:dyDescent="0.25">
      <c r="A270" s="114" t="s">
        <v>20</v>
      </c>
      <c r="B270" s="114">
        <f t="shared" si="4"/>
        <v>267</v>
      </c>
      <c r="C270" s="115" t="s">
        <v>440</v>
      </c>
      <c r="D270" s="116">
        <v>41464</v>
      </c>
      <c r="E270" s="113" t="s">
        <v>634</v>
      </c>
      <c r="F270" s="117">
        <v>6</v>
      </c>
      <c r="G270" s="118">
        <v>466.1</v>
      </c>
      <c r="H270" s="115" t="s">
        <v>22</v>
      </c>
    </row>
    <row r="271" spans="1:8" x14ac:dyDescent="0.25">
      <c r="A271" s="114" t="s">
        <v>20</v>
      </c>
      <c r="B271" s="114">
        <f t="shared" si="4"/>
        <v>268</v>
      </c>
      <c r="C271" s="115" t="s">
        <v>441</v>
      </c>
      <c r="D271" s="116">
        <v>41481</v>
      </c>
      <c r="E271" s="113" t="s">
        <v>634</v>
      </c>
      <c r="F271" s="117">
        <v>6</v>
      </c>
      <c r="G271" s="118">
        <v>466.1</v>
      </c>
      <c r="H271" s="115" t="s">
        <v>172</v>
      </c>
    </row>
    <row r="272" spans="1:8" x14ac:dyDescent="0.25">
      <c r="A272" s="114" t="s">
        <v>20</v>
      </c>
      <c r="B272" s="114">
        <f t="shared" si="4"/>
        <v>269</v>
      </c>
      <c r="C272" s="115" t="s">
        <v>442</v>
      </c>
      <c r="D272" s="116">
        <v>41477</v>
      </c>
      <c r="E272" s="113" t="s">
        <v>634</v>
      </c>
      <c r="F272" s="117">
        <v>6</v>
      </c>
      <c r="G272" s="118">
        <v>466.1</v>
      </c>
      <c r="H272" s="115" t="s">
        <v>172</v>
      </c>
    </row>
    <row r="273" spans="1:8" x14ac:dyDescent="0.25">
      <c r="A273" s="114" t="s">
        <v>20</v>
      </c>
      <c r="B273" s="114">
        <f t="shared" si="4"/>
        <v>270</v>
      </c>
      <c r="C273" s="115" t="s">
        <v>443</v>
      </c>
      <c r="D273" s="116">
        <v>41470</v>
      </c>
      <c r="E273" s="113" t="s">
        <v>634</v>
      </c>
      <c r="F273" s="117">
        <v>14.9</v>
      </c>
      <c r="G273" s="118">
        <v>466.1</v>
      </c>
      <c r="H273" s="115" t="s">
        <v>73</v>
      </c>
    </row>
    <row r="274" spans="1:8" x14ac:dyDescent="0.25">
      <c r="A274" s="114" t="s">
        <v>20</v>
      </c>
      <c r="B274" s="114">
        <f t="shared" si="4"/>
        <v>271</v>
      </c>
      <c r="C274" s="115" t="s">
        <v>444</v>
      </c>
      <c r="D274" s="116">
        <v>41480</v>
      </c>
      <c r="E274" s="113" t="s">
        <v>634</v>
      </c>
      <c r="F274" s="117">
        <v>14.9</v>
      </c>
      <c r="G274" s="118">
        <v>466.1</v>
      </c>
      <c r="H274" s="115" t="s">
        <v>172</v>
      </c>
    </row>
    <row r="275" spans="1:8" x14ac:dyDescent="0.25">
      <c r="A275" s="114" t="s">
        <v>20</v>
      </c>
      <c r="B275" s="114">
        <f t="shared" si="4"/>
        <v>272</v>
      </c>
      <c r="C275" s="115" t="s">
        <v>445</v>
      </c>
      <c r="D275" s="116">
        <v>41477</v>
      </c>
      <c r="E275" s="113" t="s">
        <v>634</v>
      </c>
      <c r="F275" s="117">
        <v>14.9</v>
      </c>
      <c r="G275" s="118">
        <v>466.1</v>
      </c>
      <c r="H275" s="115" t="s">
        <v>172</v>
      </c>
    </row>
    <row r="276" spans="1:8" x14ac:dyDescent="0.25">
      <c r="A276" s="114" t="s">
        <v>20</v>
      </c>
      <c r="B276" s="114">
        <f t="shared" si="4"/>
        <v>273</v>
      </c>
      <c r="C276" s="115" t="s">
        <v>446</v>
      </c>
      <c r="D276" s="116">
        <v>41481</v>
      </c>
      <c r="E276" s="113" t="s">
        <v>634</v>
      </c>
      <c r="F276" s="117">
        <v>8</v>
      </c>
      <c r="G276" s="118">
        <v>466.1</v>
      </c>
      <c r="H276" s="115" t="s">
        <v>113</v>
      </c>
    </row>
    <row r="277" spans="1:8" x14ac:dyDescent="0.25">
      <c r="A277" s="114" t="s">
        <v>20</v>
      </c>
      <c r="B277" s="114">
        <f t="shared" si="4"/>
        <v>274</v>
      </c>
      <c r="C277" s="115" t="s">
        <v>447</v>
      </c>
      <c r="D277" s="116">
        <v>41474</v>
      </c>
      <c r="E277" s="113" t="s">
        <v>676</v>
      </c>
      <c r="F277" s="117">
        <v>50</v>
      </c>
      <c r="G277" s="118">
        <v>10350</v>
      </c>
      <c r="H277" s="115" t="s">
        <v>649</v>
      </c>
    </row>
    <row r="278" spans="1:8" x14ac:dyDescent="0.25">
      <c r="A278" s="114" t="s">
        <v>20</v>
      </c>
      <c r="B278" s="114">
        <f t="shared" si="4"/>
        <v>275</v>
      </c>
      <c r="C278" s="115" t="s">
        <v>448</v>
      </c>
      <c r="D278" s="116">
        <v>41479</v>
      </c>
      <c r="E278" s="113" t="s">
        <v>634</v>
      </c>
      <c r="F278" s="117">
        <v>8</v>
      </c>
      <c r="G278" s="118">
        <v>466.1</v>
      </c>
      <c r="H278" s="115" t="s">
        <v>53</v>
      </c>
    </row>
    <row r="279" spans="1:8" x14ac:dyDescent="0.25">
      <c r="A279" s="114" t="s">
        <v>20</v>
      </c>
      <c r="B279" s="114">
        <f t="shared" si="4"/>
        <v>276</v>
      </c>
      <c r="C279" s="115" t="s">
        <v>449</v>
      </c>
      <c r="D279" s="116">
        <v>41477</v>
      </c>
      <c r="E279" s="113" t="s">
        <v>634</v>
      </c>
      <c r="F279" s="117">
        <v>8</v>
      </c>
      <c r="G279" s="118">
        <v>466.1</v>
      </c>
      <c r="H279" s="115" t="s">
        <v>108</v>
      </c>
    </row>
    <row r="280" spans="1:8" x14ac:dyDescent="0.25">
      <c r="A280" s="114" t="s">
        <v>20</v>
      </c>
      <c r="B280" s="114">
        <f t="shared" si="4"/>
        <v>277</v>
      </c>
      <c r="C280" s="115" t="s">
        <v>450</v>
      </c>
      <c r="D280" s="116">
        <v>41473</v>
      </c>
      <c r="E280" s="113" t="s">
        <v>634</v>
      </c>
      <c r="F280" s="117">
        <v>14.8</v>
      </c>
      <c r="G280" s="118">
        <v>466.1</v>
      </c>
      <c r="H280" s="115" t="s">
        <v>172</v>
      </c>
    </row>
    <row r="281" spans="1:8" x14ac:dyDescent="0.25">
      <c r="A281" s="114" t="s">
        <v>20</v>
      </c>
      <c r="B281" s="114">
        <f t="shared" si="4"/>
        <v>278</v>
      </c>
      <c r="C281" s="115" t="s">
        <v>451</v>
      </c>
      <c r="D281" s="116">
        <v>41471</v>
      </c>
      <c r="E281" s="113" t="s">
        <v>634</v>
      </c>
      <c r="F281" s="117">
        <v>11</v>
      </c>
      <c r="G281" s="118">
        <v>466.1</v>
      </c>
      <c r="H281" s="115" t="s">
        <v>41</v>
      </c>
    </row>
    <row r="282" spans="1:8" x14ac:dyDescent="0.25">
      <c r="A282" s="114" t="s">
        <v>20</v>
      </c>
      <c r="B282" s="114">
        <f t="shared" si="4"/>
        <v>279</v>
      </c>
      <c r="C282" s="115" t="s">
        <v>452</v>
      </c>
      <c r="D282" s="116">
        <v>41486</v>
      </c>
      <c r="E282" s="113" t="s">
        <v>634</v>
      </c>
      <c r="F282" s="117">
        <v>6</v>
      </c>
      <c r="G282" s="118">
        <v>466.1</v>
      </c>
      <c r="H282" s="115" t="s">
        <v>48</v>
      </c>
    </row>
    <row r="283" spans="1:8" x14ac:dyDescent="0.25">
      <c r="A283" s="114" t="s">
        <v>20</v>
      </c>
      <c r="B283" s="114">
        <f t="shared" si="4"/>
        <v>280</v>
      </c>
      <c r="C283" s="115" t="s">
        <v>453</v>
      </c>
      <c r="D283" s="116">
        <v>41485</v>
      </c>
      <c r="E283" s="113" t="s">
        <v>634</v>
      </c>
      <c r="F283" s="117">
        <v>15</v>
      </c>
      <c r="G283" s="118">
        <v>466.1</v>
      </c>
      <c r="H283" s="115" t="s">
        <v>652</v>
      </c>
    </row>
    <row r="284" spans="1:8" x14ac:dyDescent="0.25">
      <c r="A284" s="114" t="s">
        <v>20</v>
      </c>
      <c r="B284" s="114">
        <f t="shared" si="4"/>
        <v>281</v>
      </c>
      <c r="C284" s="115" t="s">
        <v>454</v>
      </c>
      <c r="D284" s="116">
        <v>41470</v>
      </c>
      <c r="E284" s="113" t="s">
        <v>634</v>
      </c>
      <c r="F284" s="117">
        <v>15</v>
      </c>
      <c r="G284" s="118">
        <v>466.1</v>
      </c>
      <c r="H284" s="115" t="s">
        <v>653</v>
      </c>
    </row>
    <row r="285" spans="1:8" x14ac:dyDescent="0.25">
      <c r="A285" s="114" t="s">
        <v>20</v>
      </c>
      <c r="B285" s="114">
        <f t="shared" si="4"/>
        <v>282</v>
      </c>
      <c r="C285" s="115" t="s">
        <v>455</v>
      </c>
      <c r="D285" s="116">
        <v>41472</v>
      </c>
      <c r="E285" s="113" t="s">
        <v>634</v>
      </c>
      <c r="F285" s="117">
        <v>8</v>
      </c>
      <c r="G285" s="118">
        <v>466.1</v>
      </c>
      <c r="H285" s="115" t="s">
        <v>146</v>
      </c>
    </row>
    <row r="286" spans="1:8" x14ac:dyDescent="0.25">
      <c r="A286" s="114" t="s">
        <v>20</v>
      </c>
      <c r="B286" s="114">
        <f t="shared" si="4"/>
        <v>283</v>
      </c>
      <c r="C286" s="115" t="s">
        <v>456</v>
      </c>
      <c r="D286" s="116">
        <v>41458</v>
      </c>
      <c r="E286" s="113" t="s">
        <v>634</v>
      </c>
      <c r="F286" s="117">
        <v>4.5</v>
      </c>
      <c r="G286" s="118">
        <v>466.1</v>
      </c>
      <c r="H286" s="115" t="s">
        <v>119</v>
      </c>
    </row>
    <row r="287" spans="1:8" x14ac:dyDescent="0.25">
      <c r="A287" s="114" t="s">
        <v>20</v>
      </c>
      <c r="B287" s="114">
        <f t="shared" si="4"/>
        <v>284</v>
      </c>
      <c r="C287" s="115" t="s">
        <v>457</v>
      </c>
      <c r="D287" s="116">
        <v>41463</v>
      </c>
      <c r="E287" s="113" t="s">
        <v>634</v>
      </c>
      <c r="F287" s="117">
        <v>8</v>
      </c>
      <c r="G287" s="118">
        <v>466.1</v>
      </c>
      <c r="H287" s="115" t="s">
        <v>94</v>
      </c>
    </row>
    <row r="288" spans="1:8" x14ac:dyDescent="0.25">
      <c r="A288" s="114" t="s">
        <v>20</v>
      </c>
      <c r="B288" s="114">
        <f t="shared" si="4"/>
        <v>285</v>
      </c>
      <c r="C288" s="115" t="s">
        <v>458</v>
      </c>
      <c r="D288" s="116">
        <v>41460</v>
      </c>
      <c r="E288" s="113" t="s">
        <v>634</v>
      </c>
      <c r="F288" s="117">
        <v>10</v>
      </c>
      <c r="G288" s="118">
        <v>466.1</v>
      </c>
      <c r="H288" s="115" t="s">
        <v>134</v>
      </c>
    </row>
    <row r="289" spans="1:8" x14ac:dyDescent="0.25">
      <c r="A289" s="114" t="s">
        <v>20</v>
      </c>
      <c r="B289" s="114">
        <f t="shared" si="4"/>
        <v>286</v>
      </c>
      <c r="C289" s="115" t="s">
        <v>459</v>
      </c>
      <c r="D289" s="116">
        <v>41458</v>
      </c>
      <c r="E289" s="113" t="s">
        <v>634</v>
      </c>
      <c r="F289" s="117">
        <v>10</v>
      </c>
      <c r="G289" s="118">
        <v>466.1</v>
      </c>
      <c r="H289" s="115" t="s">
        <v>32</v>
      </c>
    </row>
    <row r="290" spans="1:8" x14ac:dyDescent="0.25">
      <c r="A290" s="114" t="s">
        <v>20</v>
      </c>
      <c r="B290" s="114">
        <f t="shared" si="4"/>
        <v>287</v>
      </c>
      <c r="C290" s="115" t="s">
        <v>460</v>
      </c>
      <c r="D290" s="116">
        <v>41458</v>
      </c>
      <c r="E290" s="113" t="s">
        <v>634</v>
      </c>
      <c r="F290" s="117">
        <v>6</v>
      </c>
      <c r="G290" s="118">
        <v>466.1</v>
      </c>
      <c r="H290" s="115" t="s">
        <v>147</v>
      </c>
    </row>
    <row r="291" spans="1:8" x14ac:dyDescent="0.25">
      <c r="A291" s="114" t="s">
        <v>20</v>
      </c>
      <c r="B291" s="114">
        <f t="shared" si="4"/>
        <v>288</v>
      </c>
      <c r="C291" s="115" t="s">
        <v>461</v>
      </c>
      <c r="D291" s="116">
        <v>41457</v>
      </c>
      <c r="E291" s="113" t="s">
        <v>634</v>
      </c>
      <c r="F291" s="117">
        <v>7</v>
      </c>
      <c r="G291" s="118">
        <v>466.1</v>
      </c>
      <c r="H291" s="115" t="s">
        <v>52</v>
      </c>
    </row>
    <row r="292" spans="1:8" x14ac:dyDescent="0.25">
      <c r="A292" s="114" t="s">
        <v>20</v>
      </c>
      <c r="B292" s="114">
        <f t="shared" si="4"/>
        <v>289</v>
      </c>
      <c r="C292" s="115" t="s">
        <v>462</v>
      </c>
      <c r="D292" s="116">
        <v>41457</v>
      </c>
      <c r="E292" s="113" t="s">
        <v>634</v>
      </c>
      <c r="F292" s="117">
        <v>15</v>
      </c>
      <c r="G292" s="118">
        <v>466.1</v>
      </c>
      <c r="H292" s="115" t="s">
        <v>34</v>
      </c>
    </row>
    <row r="293" spans="1:8" x14ac:dyDescent="0.25">
      <c r="A293" s="114" t="s">
        <v>20</v>
      </c>
      <c r="B293" s="114">
        <f t="shared" si="4"/>
        <v>290</v>
      </c>
      <c r="C293" s="115" t="s">
        <v>463</v>
      </c>
      <c r="D293" s="116">
        <v>41457</v>
      </c>
      <c r="E293" s="113" t="s">
        <v>634</v>
      </c>
      <c r="F293" s="117">
        <v>12</v>
      </c>
      <c r="G293" s="118">
        <v>466.1</v>
      </c>
      <c r="H293" s="115" t="s">
        <v>654</v>
      </c>
    </row>
    <row r="294" spans="1:8" x14ac:dyDescent="0.25">
      <c r="A294" s="114" t="s">
        <v>20</v>
      </c>
      <c r="B294" s="114">
        <f t="shared" si="4"/>
        <v>291</v>
      </c>
      <c r="C294" s="115" t="s">
        <v>464</v>
      </c>
      <c r="D294" s="116">
        <v>41484</v>
      </c>
      <c r="E294" s="113" t="s">
        <v>634</v>
      </c>
      <c r="F294" s="117">
        <v>10</v>
      </c>
      <c r="G294" s="118">
        <v>466.1</v>
      </c>
      <c r="H294" s="115" t="s">
        <v>71</v>
      </c>
    </row>
    <row r="295" spans="1:8" x14ac:dyDescent="0.25">
      <c r="A295" s="114" t="s">
        <v>20</v>
      </c>
      <c r="B295" s="114">
        <f t="shared" si="4"/>
        <v>292</v>
      </c>
      <c r="C295" s="115" t="s">
        <v>465</v>
      </c>
      <c r="D295" s="116">
        <v>41485</v>
      </c>
      <c r="E295" s="113" t="s">
        <v>634</v>
      </c>
      <c r="F295" s="117">
        <v>15</v>
      </c>
      <c r="G295" s="118">
        <v>466.1</v>
      </c>
      <c r="H295" s="115" t="s">
        <v>652</v>
      </c>
    </row>
    <row r="296" spans="1:8" x14ac:dyDescent="0.25">
      <c r="A296" s="114" t="s">
        <v>20</v>
      </c>
      <c r="B296" s="114">
        <f t="shared" si="4"/>
        <v>293</v>
      </c>
      <c r="C296" s="115" t="s">
        <v>466</v>
      </c>
      <c r="D296" s="116">
        <v>41485</v>
      </c>
      <c r="E296" s="113" t="s">
        <v>634</v>
      </c>
      <c r="F296" s="117">
        <v>15</v>
      </c>
      <c r="G296" s="118">
        <v>466.1</v>
      </c>
      <c r="H296" s="115" t="s">
        <v>652</v>
      </c>
    </row>
    <row r="297" spans="1:8" x14ac:dyDescent="0.25">
      <c r="A297" s="114" t="s">
        <v>20</v>
      </c>
      <c r="B297" s="114">
        <f t="shared" si="4"/>
        <v>294</v>
      </c>
      <c r="C297" s="115" t="s">
        <v>467</v>
      </c>
      <c r="D297" s="116">
        <v>41460</v>
      </c>
      <c r="E297" s="113" t="s">
        <v>634</v>
      </c>
      <c r="F297" s="117">
        <v>15</v>
      </c>
      <c r="G297" s="118">
        <v>466.1</v>
      </c>
      <c r="H297" s="115" t="s">
        <v>652</v>
      </c>
    </row>
    <row r="298" spans="1:8" x14ac:dyDescent="0.25">
      <c r="A298" s="114" t="s">
        <v>20</v>
      </c>
      <c r="B298" s="114">
        <f t="shared" si="4"/>
        <v>295</v>
      </c>
      <c r="C298" s="115" t="s">
        <v>468</v>
      </c>
      <c r="D298" s="116">
        <v>41463</v>
      </c>
      <c r="E298" s="113" t="s">
        <v>634</v>
      </c>
      <c r="F298" s="117">
        <v>8</v>
      </c>
      <c r="G298" s="118">
        <v>466.1</v>
      </c>
      <c r="H298" s="115" t="s">
        <v>63</v>
      </c>
    </row>
    <row r="299" spans="1:8" x14ac:dyDescent="0.25">
      <c r="A299" s="114" t="s">
        <v>20</v>
      </c>
      <c r="B299" s="114">
        <f t="shared" si="4"/>
        <v>296</v>
      </c>
      <c r="C299" s="115" t="s">
        <v>469</v>
      </c>
      <c r="D299" s="116">
        <v>41460</v>
      </c>
      <c r="E299" s="113" t="s">
        <v>634</v>
      </c>
      <c r="F299" s="117">
        <v>15</v>
      </c>
      <c r="G299" s="118">
        <v>466.1</v>
      </c>
      <c r="H299" s="115" t="s">
        <v>652</v>
      </c>
    </row>
    <row r="300" spans="1:8" x14ac:dyDescent="0.25">
      <c r="A300" s="114" t="s">
        <v>20</v>
      </c>
      <c r="B300" s="114">
        <f t="shared" si="4"/>
        <v>297</v>
      </c>
      <c r="C300" s="115" t="s">
        <v>470</v>
      </c>
      <c r="D300" s="116">
        <v>41467</v>
      </c>
      <c r="E300" s="113" t="s">
        <v>634</v>
      </c>
      <c r="F300" s="117">
        <v>15</v>
      </c>
      <c r="G300" s="118">
        <v>466.1</v>
      </c>
      <c r="H300" s="115" t="s">
        <v>142</v>
      </c>
    </row>
    <row r="301" spans="1:8" x14ac:dyDescent="0.25">
      <c r="A301" s="114" t="s">
        <v>20</v>
      </c>
      <c r="B301" s="114">
        <f t="shared" si="4"/>
        <v>298</v>
      </c>
      <c r="C301" s="115" t="s">
        <v>471</v>
      </c>
      <c r="D301" s="116">
        <v>41466</v>
      </c>
      <c r="E301" s="113" t="s">
        <v>634</v>
      </c>
      <c r="F301" s="117">
        <v>10</v>
      </c>
      <c r="G301" s="118">
        <v>466.1</v>
      </c>
      <c r="H301" s="115" t="s">
        <v>49</v>
      </c>
    </row>
    <row r="302" spans="1:8" x14ac:dyDescent="0.25">
      <c r="A302" s="114" t="s">
        <v>20</v>
      </c>
      <c r="B302" s="114">
        <f t="shared" si="4"/>
        <v>299</v>
      </c>
      <c r="C302" s="115">
        <v>40752331</v>
      </c>
      <c r="D302" s="116">
        <v>41485</v>
      </c>
      <c r="E302" s="113" t="s">
        <v>635</v>
      </c>
      <c r="F302" s="117">
        <v>340</v>
      </c>
      <c r="G302" s="118">
        <v>1539520</v>
      </c>
      <c r="H302" s="115" t="s">
        <v>55</v>
      </c>
    </row>
    <row r="303" spans="1:8" x14ac:dyDescent="0.25">
      <c r="A303" s="114" t="s">
        <v>20</v>
      </c>
      <c r="B303" s="114">
        <f t="shared" si="4"/>
        <v>300</v>
      </c>
      <c r="C303" s="115" t="s">
        <v>472</v>
      </c>
      <c r="D303" s="116">
        <v>41463</v>
      </c>
      <c r="E303" s="113" t="s">
        <v>634</v>
      </c>
      <c r="F303" s="117">
        <v>15</v>
      </c>
      <c r="G303" s="118">
        <v>466.1</v>
      </c>
      <c r="H303" s="115" t="s">
        <v>652</v>
      </c>
    </row>
    <row r="304" spans="1:8" x14ac:dyDescent="0.25">
      <c r="A304" s="114" t="s">
        <v>20</v>
      </c>
      <c r="B304" s="114">
        <f t="shared" si="4"/>
        <v>301</v>
      </c>
      <c r="C304" s="115" t="s">
        <v>473</v>
      </c>
      <c r="D304" s="116">
        <v>41460</v>
      </c>
      <c r="E304" s="113" t="s">
        <v>634</v>
      </c>
      <c r="F304" s="117">
        <v>15</v>
      </c>
      <c r="G304" s="118">
        <v>466.1</v>
      </c>
      <c r="H304" s="115" t="s">
        <v>34</v>
      </c>
    </row>
    <row r="305" spans="1:8" x14ac:dyDescent="0.25">
      <c r="A305" s="114" t="s">
        <v>20</v>
      </c>
      <c r="B305" s="114">
        <f t="shared" si="4"/>
        <v>302</v>
      </c>
      <c r="C305" s="115" t="s">
        <v>474</v>
      </c>
      <c r="D305" s="116">
        <v>41466</v>
      </c>
      <c r="E305" s="113" t="s">
        <v>634</v>
      </c>
      <c r="F305" s="117">
        <v>8</v>
      </c>
      <c r="G305" s="118">
        <v>466.1</v>
      </c>
      <c r="H305" s="115" t="s">
        <v>67</v>
      </c>
    </row>
    <row r="306" spans="1:8" x14ac:dyDescent="0.25">
      <c r="A306" s="114" t="s">
        <v>20</v>
      </c>
      <c r="B306" s="114">
        <f t="shared" si="4"/>
        <v>303</v>
      </c>
      <c r="C306" s="115" t="s">
        <v>475</v>
      </c>
      <c r="D306" s="116">
        <v>41459</v>
      </c>
      <c r="E306" s="113" t="s">
        <v>634</v>
      </c>
      <c r="F306" s="117">
        <v>15</v>
      </c>
      <c r="G306" s="118">
        <v>466.1</v>
      </c>
      <c r="H306" s="115" t="s">
        <v>63</v>
      </c>
    </row>
    <row r="307" spans="1:8" x14ac:dyDescent="0.25">
      <c r="A307" s="114" t="s">
        <v>20</v>
      </c>
      <c r="B307" s="114">
        <f t="shared" si="4"/>
        <v>304</v>
      </c>
      <c r="C307" s="115" t="s">
        <v>476</v>
      </c>
      <c r="D307" s="116">
        <v>41467</v>
      </c>
      <c r="E307" s="113" t="s">
        <v>634</v>
      </c>
      <c r="F307" s="117">
        <v>8</v>
      </c>
      <c r="G307" s="118">
        <v>466.1</v>
      </c>
      <c r="H307" s="115" t="s">
        <v>65</v>
      </c>
    </row>
    <row r="308" spans="1:8" x14ac:dyDescent="0.25">
      <c r="A308" s="114" t="s">
        <v>20</v>
      </c>
      <c r="B308" s="114">
        <f t="shared" si="4"/>
        <v>305</v>
      </c>
      <c r="C308" s="115" t="s">
        <v>477</v>
      </c>
      <c r="D308" s="116">
        <v>41478</v>
      </c>
      <c r="E308" s="113" t="s">
        <v>634</v>
      </c>
      <c r="F308" s="117">
        <v>8</v>
      </c>
      <c r="G308" s="118">
        <v>466.1</v>
      </c>
      <c r="H308" s="115" t="s">
        <v>655</v>
      </c>
    </row>
    <row r="309" spans="1:8" x14ac:dyDescent="0.25">
      <c r="A309" s="114" t="s">
        <v>20</v>
      </c>
      <c r="B309" s="114">
        <f t="shared" si="4"/>
        <v>306</v>
      </c>
      <c r="C309" s="115" t="s">
        <v>478</v>
      </c>
      <c r="D309" s="116">
        <v>41460</v>
      </c>
      <c r="E309" s="113" t="s">
        <v>634</v>
      </c>
      <c r="F309" s="117">
        <v>10</v>
      </c>
      <c r="G309" s="118">
        <v>466.1</v>
      </c>
      <c r="H309" s="115" t="s">
        <v>139</v>
      </c>
    </row>
    <row r="310" spans="1:8" x14ac:dyDescent="0.25">
      <c r="A310" s="114" t="s">
        <v>20</v>
      </c>
      <c r="B310" s="114">
        <f t="shared" si="4"/>
        <v>307</v>
      </c>
      <c r="C310" s="115" t="s">
        <v>479</v>
      </c>
      <c r="D310" s="116">
        <v>41466</v>
      </c>
      <c r="E310" s="113" t="s">
        <v>634</v>
      </c>
      <c r="F310" s="117">
        <v>14</v>
      </c>
      <c r="G310" s="118">
        <v>466.1</v>
      </c>
      <c r="H310" s="115" t="s">
        <v>54</v>
      </c>
    </row>
    <row r="311" spans="1:8" x14ac:dyDescent="0.25">
      <c r="A311" s="114" t="s">
        <v>20</v>
      </c>
      <c r="B311" s="114">
        <f t="shared" si="4"/>
        <v>308</v>
      </c>
      <c r="C311" s="115" t="s">
        <v>480</v>
      </c>
      <c r="D311" s="116">
        <v>41466</v>
      </c>
      <c r="E311" s="113" t="s">
        <v>634</v>
      </c>
      <c r="F311" s="117">
        <v>4.5</v>
      </c>
      <c r="G311" s="118">
        <v>466.1</v>
      </c>
      <c r="H311" s="115" t="s">
        <v>129</v>
      </c>
    </row>
    <row r="312" spans="1:8" x14ac:dyDescent="0.25">
      <c r="A312" s="114" t="s">
        <v>20</v>
      </c>
      <c r="B312" s="114">
        <f t="shared" si="4"/>
        <v>309</v>
      </c>
      <c r="C312" s="115" t="s">
        <v>481</v>
      </c>
      <c r="D312" s="116">
        <v>41466</v>
      </c>
      <c r="E312" s="113" t="s">
        <v>634</v>
      </c>
      <c r="F312" s="117">
        <v>4.5</v>
      </c>
      <c r="G312" s="118">
        <v>466.1</v>
      </c>
      <c r="H312" s="115" t="s">
        <v>40</v>
      </c>
    </row>
    <row r="313" spans="1:8" x14ac:dyDescent="0.25">
      <c r="A313" s="114" t="s">
        <v>20</v>
      </c>
      <c r="B313" s="114">
        <f t="shared" si="4"/>
        <v>310</v>
      </c>
      <c r="C313" s="115" t="s">
        <v>482</v>
      </c>
      <c r="D313" s="116">
        <v>41464</v>
      </c>
      <c r="E313" s="113" t="s">
        <v>634</v>
      </c>
      <c r="F313" s="117">
        <v>15</v>
      </c>
      <c r="G313" s="118">
        <v>466.1</v>
      </c>
      <c r="H313" s="115" t="s">
        <v>38</v>
      </c>
    </row>
    <row r="314" spans="1:8" x14ac:dyDescent="0.25">
      <c r="A314" s="114" t="s">
        <v>20</v>
      </c>
      <c r="B314" s="114">
        <f t="shared" si="4"/>
        <v>311</v>
      </c>
      <c r="C314" s="115" t="s">
        <v>483</v>
      </c>
      <c r="D314" s="116">
        <v>41464</v>
      </c>
      <c r="E314" s="113" t="s">
        <v>634</v>
      </c>
      <c r="F314" s="117">
        <v>15</v>
      </c>
      <c r="G314" s="118">
        <v>466.1</v>
      </c>
      <c r="H314" s="115" t="s">
        <v>43</v>
      </c>
    </row>
    <row r="315" spans="1:8" x14ac:dyDescent="0.25">
      <c r="A315" s="114" t="s">
        <v>20</v>
      </c>
      <c r="B315" s="114">
        <f t="shared" si="4"/>
        <v>312</v>
      </c>
      <c r="C315" s="115">
        <v>40758886</v>
      </c>
      <c r="D315" s="116">
        <v>41465</v>
      </c>
      <c r="E315" s="113" t="s">
        <v>635</v>
      </c>
      <c r="F315" s="117">
        <v>15</v>
      </c>
      <c r="G315" s="118">
        <v>154770</v>
      </c>
      <c r="H315" s="115" t="s">
        <v>43</v>
      </c>
    </row>
    <row r="316" spans="1:8" x14ac:dyDescent="0.25">
      <c r="A316" s="114" t="s">
        <v>20</v>
      </c>
      <c r="B316" s="114">
        <f t="shared" si="4"/>
        <v>313</v>
      </c>
      <c r="C316" s="115" t="s">
        <v>484</v>
      </c>
      <c r="D316" s="116">
        <v>41470</v>
      </c>
      <c r="E316" s="113" t="s">
        <v>634</v>
      </c>
      <c r="F316" s="117">
        <v>15</v>
      </c>
      <c r="G316" s="118">
        <v>466.1</v>
      </c>
      <c r="H316" s="115" t="s">
        <v>133</v>
      </c>
    </row>
    <row r="317" spans="1:8" x14ac:dyDescent="0.25">
      <c r="A317" s="114" t="s">
        <v>20</v>
      </c>
      <c r="B317" s="114">
        <f t="shared" si="4"/>
        <v>314</v>
      </c>
      <c r="C317" s="115" t="s">
        <v>485</v>
      </c>
      <c r="D317" s="116">
        <v>41464</v>
      </c>
      <c r="E317" s="113" t="s">
        <v>634</v>
      </c>
      <c r="F317" s="117">
        <v>15</v>
      </c>
      <c r="G317" s="118">
        <v>466.1</v>
      </c>
      <c r="H317" s="115" t="s">
        <v>43</v>
      </c>
    </row>
    <row r="318" spans="1:8" x14ac:dyDescent="0.25">
      <c r="A318" s="114" t="s">
        <v>20</v>
      </c>
      <c r="B318" s="114">
        <f t="shared" si="4"/>
        <v>315</v>
      </c>
      <c r="C318" s="115" t="s">
        <v>486</v>
      </c>
      <c r="D318" s="116">
        <v>41464</v>
      </c>
      <c r="E318" s="113" t="s">
        <v>634</v>
      </c>
      <c r="F318" s="117">
        <v>8</v>
      </c>
      <c r="G318" s="118">
        <v>466.1</v>
      </c>
      <c r="H318" s="115" t="s">
        <v>43</v>
      </c>
    </row>
    <row r="319" spans="1:8" x14ac:dyDescent="0.25">
      <c r="A319" s="114" t="s">
        <v>20</v>
      </c>
      <c r="B319" s="114">
        <f t="shared" si="4"/>
        <v>316</v>
      </c>
      <c r="C319" s="115" t="s">
        <v>487</v>
      </c>
      <c r="D319" s="116">
        <v>41471</v>
      </c>
      <c r="E319" s="113" t="s">
        <v>634</v>
      </c>
      <c r="F319" s="117">
        <v>12</v>
      </c>
      <c r="G319" s="118">
        <v>466.1</v>
      </c>
      <c r="H319" s="115" t="s">
        <v>656</v>
      </c>
    </row>
    <row r="320" spans="1:8" x14ac:dyDescent="0.25">
      <c r="A320" s="114" t="s">
        <v>20</v>
      </c>
      <c r="B320" s="114">
        <f t="shared" si="4"/>
        <v>317</v>
      </c>
      <c r="C320" s="115" t="s">
        <v>488</v>
      </c>
      <c r="D320" s="116">
        <v>41470</v>
      </c>
      <c r="E320" s="113" t="s">
        <v>634</v>
      </c>
      <c r="F320" s="117">
        <v>15</v>
      </c>
      <c r="G320" s="118">
        <v>466.1</v>
      </c>
      <c r="H320" s="115" t="s">
        <v>82</v>
      </c>
    </row>
    <row r="321" spans="1:8" x14ac:dyDescent="0.25">
      <c r="A321" s="114" t="s">
        <v>20</v>
      </c>
      <c r="B321" s="114">
        <f t="shared" si="4"/>
        <v>318</v>
      </c>
      <c r="C321" s="115" t="s">
        <v>489</v>
      </c>
      <c r="D321" s="116">
        <v>41464</v>
      </c>
      <c r="E321" s="113" t="s">
        <v>634</v>
      </c>
      <c r="F321" s="117">
        <v>15</v>
      </c>
      <c r="G321" s="118">
        <v>466.1</v>
      </c>
      <c r="H321" s="115" t="s">
        <v>43</v>
      </c>
    </row>
    <row r="322" spans="1:8" x14ac:dyDescent="0.25">
      <c r="A322" s="114" t="s">
        <v>20</v>
      </c>
      <c r="B322" s="114">
        <f t="shared" si="4"/>
        <v>319</v>
      </c>
      <c r="C322" s="115" t="s">
        <v>490</v>
      </c>
      <c r="D322" s="116">
        <v>41456</v>
      </c>
      <c r="E322" s="113" t="s">
        <v>634</v>
      </c>
      <c r="F322" s="117">
        <v>15</v>
      </c>
      <c r="G322" s="118">
        <v>466.1</v>
      </c>
      <c r="H322" s="115" t="s">
        <v>43</v>
      </c>
    </row>
    <row r="323" spans="1:8" x14ac:dyDescent="0.25">
      <c r="A323" s="114" t="s">
        <v>20</v>
      </c>
      <c r="B323" s="114">
        <f t="shared" si="4"/>
        <v>320</v>
      </c>
      <c r="C323" s="115" t="s">
        <v>491</v>
      </c>
      <c r="D323" s="116">
        <v>41465</v>
      </c>
      <c r="E323" s="113" t="s">
        <v>634</v>
      </c>
      <c r="F323" s="117">
        <v>15</v>
      </c>
      <c r="G323" s="118">
        <v>466.1</v>
      </c>
      <c r="H323" s="115" t="s">
        <v>34</v>
      </c>
    </row>
    <row r="324" spans="1:8" x14ac:dyDescent="0.25">
      <c r="A324" s="114" t="s">
        <v>20</v>
      </c>
      <c r="B324" s="114">
        <f t="shared" si="4"/>
        <v>321</v>
      </c>
      <c r="C324" s="115" t="s">
        <v>492</v>
      </c>
      <c r="D324" s="116">
        <v>41458</v>
      </c>
      <c r="E324" s="113" t="s">
        <v>634</v>
      </c>
      <c r="F324" s="117">
        <v>8</v>
      </c>
      <c r="G324" s="118">
        <v>466.1</v>
      </c>
      <c r="H324" s="115" t="s">
        <v>652</v>
      </c>
    </row>
    <row r="325" spans="1:8" x14ac:dyDescent="0.25">
      <c r="A325" s="114" t="s">
        <v>20</v>
      </c>
      <c r="B325" s="114">
        <f t="shared" si="4"/>
        <v>322</v>
      </c>
      <c r="C325" s="115" t="s">
        <v>493</v>
      </c>
      <c r="D325" s="116">
        <v>41479</v>
      </c>
      <c r="E325" s="113" t="s">
        <v>634</v>
      </c>
      <c r="F325" s="117">
        <v>15</v>
      </c>
      <c r="G325" s="118">
        <v>466.1</v>
      </c>
      <c r="H325" s="115" t="s">
        <v>67</v>
      </c>
    </row>
    <row r="326" spans="1:8" x14ac:dyDescent="0.25">
      <c r="A326" s="114" t="s">
        <v>20</v>
      </c>
      <c r="B326" s="114">
        <f t="shared" ref="B326:B389" si="5">B325+1</f>
        <v>323</v>
      </c>
      <c r="C326" s="115" t="s">
        <v>494</v>
      </c>
      <c r="D326" s="116">
        <v>41478</v>
      </c>
      <c r="E326" s="113" t="s">
        <v>634</v>
      </c>
      <c r="F326" s="117">
        <v>15</v>
      </c>
      <c r="G326" s="118">
        <v>466.1</v>
      </c>
      <c r="H326" s="115" t="s">
        <v>657</v>
      </c>
    </row>
    <row r="327" spans="1:8" x14ac:dyDescent="0.25">
      <c r="A327" s="114" t="s">
        <v>20</v>
      </c>
      <c r="B327" s="114">
        <f t="shared" si="5"/>
        <v>324</v>
      </c>
      <c r="C327" s="115" t="s">
        <v>495</v>
      </c>
      <c r="D327" s="116">
        <v>41470</v>
      </c>
      <c r="E327" s="113" t="s">
        <v>635</v>
      </c>
      <c r="F327" s="117">
        <v>70</v>
      </c>
      <c r="G327" s="118">
        <v>14490</v>
      </c>
      <c r="H327" s="115" t="s">
        <v>33</v>
      </c>
    </row>
    <row r="328" spans="1:8" x14ac:dyDescent="0.25">
      <c r="A328" s="114" t="s">
        <v>20</v>
      </c>
      <c r="B328" s="114">
        <f t="shared" si="5"/>
        <v>325</v>
      </c>
      <c r="C328" s="115" t="s">
        <v>496</v>
      </c>
      <c r="D328" s="116">
        <v>41472</v>
      </c>
      <c r="E328" s="113" t="s">
        <v>634</v>
      </c>
      <c r="F328" s="117">
        <v>10.5</v>
      </c>
      <c r="G328" s="118">
        <v>466.1</v>
      </c>
      <c r="H328" s="115" t="s">
        <v>32</v>
      </c>
    </row>
    <row r="329" spans="1:8" x14ac:dyDescent="0.25">
      <c r="A329" s="114" t="s">
        <v>20</v>
      </c>
      <c r="B329" s="114">
        <f t="shared" si="5"/>
        <v>326</v>
      </c>
      <c r="C329" s="115" t="s">
        <v>497</v>
      </c>
      <c r="D329" s="116">
        <v>41459</v>
      </c>
      <c r="E329" s="113" t="s">
        <v>634</v>
      </c>
      <c r="F329" s="117">
        <v>15</v>
      </c>
      <c r="G329" s="118">
        <v>466.1</v>
      </c>
      <c r="H329" s="115" t="s">
        <v>29</v>
      </c>
    </row>
    <row r="330" spans="1:8" x14ac:dyDescent="0.25">
      <c r="A330" s="114" t="s">
        <v>20</v>
      </c>
      <c r="B330" s="114">
        <f t="shared" si="5"/>
        <v>327</v>
      </c>
      <c r="C330" s="115" t="s">
        <v>498</v>
      </c>
      <c r="D330" s="116">
        <v>41457</v>
      </c>
      <c r="E330" s="113" t="s">
        <v>634</v>
      </c>
      <c r="F330" s="117">
        <v>5</v>
      </c>
      <c r="G330" s="118">
        <v>466.1</v>
      </c>
      <c r="H330" s="115" t="s">
        <v>28</v>
      </c>
    </row>
    <row r="331" spans="1:8" x14ac:dyDescent="0.25">
      <c r="A331" s="114" t="s">
        <v>20</v>
      </c>
      <c r="B331" s="114">
        <f t="shared" si="5"/>
        <v>328</v>
      </c>
      <c r="C331" s="115" t="s">
        <v>499</v>
      </c>
      <c r="D331" s="116">
        <v>41458</v>
      </c>
      <c r="E331" s="113" t="s">
        <v>634</v>
      </c>
      <c r="F331" s="117">
        <v>15</v>
      </c>
      <c r="G331" s="118">
        <v>466.1</v>
      </c>
      <c r="H331" s="115" t="s">
        <v>142</v>
      </c>
    </row>
    <row r="332" spans="1:8" x14ac:dyDescent="0.25">
      <c r="A332" s="114" t="s">
        <v>20</v>
      </c>
      <c r="B332" s="114">
        <f t="shared" si="5"/>
        <v>329</v>
      </c>
      <c r="C332" s="115" t="s">
        <v>500</v>
      </c>
      <c r="D332" s="116">
        <v>41460</v>
      </c>
      <c r="E332" s="113" t="s">
        <v>634</v>
      </c>
      <c r="F332" s="117">
        <v>8</v>
      </c>
      <c r="G332" s="118">
        <v>466.1</v>
      </c>
      <c r="H332" s="115" t="s">
        <v>658</v>
      </c>
    </row>
    <row r="333" spans="1:8" x14ac:dyDescent="0.25">
      <c r="A333" s="114" t="s">
        <v>20</v>
      </c>
      <c r="B333" s="114">
        <f t="shared" si="5"/>
        <v>330</v>
      </c>
      <c r="C333" s="115" t="s">
        <v>501</v>
      </c>
      <c r="D333" s="116">
        <v>41464</v>
      </c>
      <c r="E333" s="113" t="s">
        <v>634</v>
      </c>
      <c r="F333" s="117">
        <v>15</v>
      </c>
      <c r="G333" s="118">
        <v>466.1</v>
      </c>
      <c r="H333" s="115" t="s">
        <v>653</v>
      </c>
    </row>
    <row r="334" spans="1:8" x14ac:dyDescent="0.25">
      <c r="A334" s="114" t="s">
        <v>20</v>
      </c>
      <c r="B334" s="114">
        <f t="shared" si="5"/>
        <v>331</v>
      </c>
      <c r="C334" s="115" t="s">
        <v>502</v>
      </c>
      <c r="D334" s="116">
        <v>41458</v>
      </c>
      <c r="E334" s="113" t="s">
        <v>634</v>
      </c>
      <c r="F334" s="117">
        <v>11</v>
      </c>
      <c r="G334" s="118">
        <v>466.1</v>
      </c>
      <c r="H334" s="115" t="s">
        <v>131</v>
      </c>
    </row>
    <row r="335" spans="1:8" x14ac:dyDescent="0.25">
      <c r="A335" s="114" t="s">
        <v>20</v>
      </c>
      <c r="B335" s="114">
        <f t="shared" si="5"/>
        <v>332</v>
      </c>
      <c r="C335" s="115" t="s">
        <v>503</v>
      </c>
      <c r="D335" s="116">
        <v>41464</v>
      </c>
      <c r="E335" s="113" t="s">
        <v>634</v>
      </c>
      <c r="F335" s="117">
        <v>15</v>
      </c>
      <c r="G335" s="118">
        <v>466.1</v>
      </c>
      <c r="H335" s="115" t="s">
        <v>63</v>
      </c>
    </row>
    <row r="336" spans="1:8" x14ac:dyDescent="0.25">
      <c r="A336" s="114" t="s">
        <v>20</v>
      </c>
      <c r="B336" s="114">
        <f t="shared" si="5"/>
        <v>333</v>
      </c>
      <c r="C336" s="115" t="s">
        <v>504</v>
      </c>
      <c r="D336" s="116">
        <v>41457</v>
      </c>
      <c r="E336" s="113" t="s">
        <v>634</v>
      </c>
      <c r="F336" s="117">
        <v>8</v>
      </c>
      <c r="G336" s="118">
        <v>466.1</v>
      </c>
      <c r="H336" s="115" t="s">
        <v>38</v>
      </c>
    </row>
    <row r="337" spans="1:8" x14ac:dyDescent="0.25">
      <c r="A337" s="114" t="s">
        <v>20</v>
      </c>
      <c r="B337" s="114">
        <f t="shared" si="5"/>
        <v>334</v>
      </c>
      <c r="C337" s="115" t="s">
        <v>505</v>
      </c>
      <c r="D337" s="116">
        <v>41460</v>
      </c>
      <c r="E337" s="113" t="s">
        <v>634</v>
      </c>
      <c r="F337" s="117">
        <v>8</v>
      </c>
      <c r="G337" s="118">
        <v>466.1</v>
      </c>
      <c r="H337" s="115" t="s">
        <v>679</v>
      </c>
    </row>
    <row r="338" spans="1:8" x14ac:dyDescent="0.25">
      <c r="A338" s="114" t="s">
        <v>20</v>
      </c>
      <c r="B338" s="114">
        <f t="shared" si="5"/>
        <v>335</v>
      </c>
      <c r="C338" s="115" t="s">
        <v>506</v>
      </c>
      <c r="D338" s="116">
        <v>41464</v>
      </c>
      <c r="E338" s="113" t="s">
        <v>634</v>
      </c>
      <c r="F338" s="117">
        <v>12</v>
      </c>
      <c r="G338" s="118">
        <v>466.1</v>
      </c>
      <c r="H338" s="115" t="s">
        <v>28</v>
      </c>
    </row>
    <row r="339" spans="1:8" x14ac:dyDescent="0.25">
      <c r="A339" s="114" t="s">
        <v>20</v>
      </c>
      <c r="B339" s="114">
        <f t="shared" si="5"/>
        <v>336</v>
      </c>
      <c r="C339" s="115" t="s">
        <v>507</v>
      </c>
      <c r="D339" s="116">
        <v>41470</v>
      </c>
      <c r="E339" s="113" t="s">
        <v>634</v>
      </c>
      <c r="F339" s="117">
        <v>15</v>
      </c>
      <c r="G339" s="118">
        <v>466.1</v>
      </c>
      <c r="H339" s="115" t="s">
        <v>659</v>
      </c>
    </row>
    <row r="340" spans="1:8" x14ac:dyDescent="0.25">
      <c r="A340" s="114" t="s">
        <v>20</v>
      </c>
      <c r="B340" s="114">
        <f t="shared" si="5"/>
        <v>337</v>
      </c>
      <c r="C340" s="115" t="s">
        <v>508</v>
      </c>
      <c r="D340" s="116">
        <v>41460</v>
      </c>
      <c r="E340" s="113" t="s">
        <v>634</v>
      </c>
      <c r="F340" s="117">
        <v>15</v>
      </c>
      <c r="G340" s="118">
        <v>466.1</v>
      </c>
      <c r="H340" s="115" t="s">
        <v>34</v>
      </c>
    </row>
    <row r="341" spans="1:8" x14ac:dyDescent="0.25">
      <c r="A341" s="114" t="s">
        <v>20</v>
      </c>
      <c r="B341" s="114">
        <f t="shared" si="5"/>
        <v>338</v>
      </c>
      <c r="C341" s="115" t="s">
        <v>509</v>
      </c>
      <c r="D341" s="116">
        <v>41474</v>
      </c>
      <c r="E341" s="113" t="s">
        <v>634</v>
      </c>
      <c r="F341" s="117">
        <v>8</v>
      </c>
      <c r="G341" s="118">
        <v>466.1</v>
      </c>
      <c r="H341" s="115" t="s">
        <v>137</v>
      </c>
    </row>
    <row r="342" spans="1:8" x14ac:dyDescent="0.25">
      <c r="A342" s="114" t="s">
        <v>20</v>
      </c>
      <c r="B342" s="114">
        <f t="shared" si="5"/>
        <v>339</v>
      </c>
      <c r="C342" s="115" t="s">
        <v>510</v>
      </c>
      <c r="D342" s="116">
        <v>41470</v>
      </c>
      <c r="E342" s="113" t="s">
        <v>634</v>
      </c>
      <c r="F342" s="117">
        <v>5</v>
      </c>
      <c r="G342" s="118">
        <v>466.1</v>
      </c>
      <c r="H342" s="115" t="s">
        <v>94</v>
      </c>
    </row>
    <row r="343" spans="1:8" x14ac:dyDescent="0.25">
      <c r="A343" s="114" t="s">
        <v>20</v>
      </c>
      <c r="B343" s="114">
        <f t="shared" si="5"/>
        <v>340</v>
      </c>
      <c r="C343" s="115" t="s">
        <v>511</v>
      </c>
      <c r="D343" s="116">
        <v>41467</v>
      </c>
      <c r="E343" s="113" t="s">
        <v>634</v>
      </c>
      <c r="F343" s="117">
        <v>7</v>
      </c>
      <c r="G343" s="118">
        <v>466.1</v>
      </c>
      <c r="H343" s="115" t="s">
        <v>652</v>
      </c>
    </row>
    <row r="344" spans="1:8" x14ac:dyDescent="0.25">
      <c r="A344" s="114" t="s">
        <v>20</v>
      </c>
      <c r="B344" s="114">
        <f t="shared" si="5"/>
        <v>341</v>
      </c>
      <c r="C344" s="115" t="s">
        <v>512</v>
      </c>
      <c r="D344" s="116">
        <v>41467</v>
      </c>
      <c r="E344" s="113" t="s">
        <v>634</v>
      </c>
      <c r="F344" s="117">
        <v>15</v>
      </c>
      <c r="G344" s="118">
        <v>466.1</v>
      </c>
      <c r="H344" s="115" t="s">
        <v>63</v>
      </c>
    </row>
    <row r="345" spans="1:8" x14ac:dyDescent="0.25">
      <c r="A345" s="114" t="s">
        <v>20</v>
      </c>
      <c r="B345" s="114">
        <f t="shared" si="5"/>
        <v>342</v>
      </c>
      <c r="C345" s="115" t="s">
        <v>513</v>
      </c>
      <c r="D345" s="116">
        <v>41467</v>
      </c>
      <c r="E345" s="113" t="s">
        <v>634</v>
      </c>
      <c r="F345" s="117">
        <v>60</v>
      </c>
      <c r="G345" s="118">
        <v>12420</v>
      </c>
      <c r="H345" s="115" t="s">
        <v>130</v>
      </c>
    </row>
    <row r="346" spans="1:8" x14ac:dyDescent="0.25">
      <c r="A346" s="114" t="s">
        <v>20</v>
      </c>
      <c r="B346" s="114">
        <f t="shared" si="5"/>
        <v>343</v>
      </c>
      <c r="C346" s="115" t="s">
        <v>514</v>
      </c>
      <c r="D346" s="116">
        <v>41465</v>
      </c>
      <c r="E346" s="113" t="s">
        <v>634</v>
      </c>
      <c r="F346" s="117">
        <v>15</v>
      </c>
      <c r="G346" s="118">
        <v>466.1</v>
      </c>
      <c r="H346" s="115" t="s">
        <v>145</v>
      </c>
    </row>
    <row r="347" spans="1:8" x14ac:dyDescent="0.25">
      <c r="A347" s="114" t="s">
        <v>20</v>
      </c>
      <c r="B347" s="114">
        <f t="shared" si="5"/>
        <v>344</v>
      </c>
      <c r="C347" s="115" t="s">
        <v>515</v>
      </c>
      <c r="D347" s="116">
        <v>41472</v>
      </c>
      <c r="E347" s="113" t="s">
        <v>634</v>
      </c>
      <c r="F347" s="117">
        <v>8</v>
      </c>
      <c r="G347" s="118">
        <v>466.1</v>
      </c>
      <c r="H347" s="115" t="s">
        <v>27</v>
      </c>
    </row>
    <row r="348" spans="1:8" x14ac:dyDescent="0.25">
      <c r="A348" s="114" t="s">
        <v>20</v>
      </c>
      <c r="B348" s="114">
        <f t="shared" si="5"/>
        <v>345</v>
      </c>
      <c r="C348" s="115" t="s">
        <v>516</v>
      </c>
      <c r="D348" s="116">
        <v>41465</v>
      </c>
      <c r="E348" s="113" t="s">
        <v>634</v>
      </c>
      <c r="F348" s="117">
        <v>8</v>
      </c>
      <c r="G348" s="118">
        <v>466.1</v>
      </c>
      <c r="H348" s="115" t="s">
        <v>94</v>
      </c>
    </row>
    <row r="349" spans="1:8" x14ac:dyDescent="0.25">
      <c r="A349" s="114" t="s">
        <v>20</v>
      </c>
      <c r="B349" s="114">
        <f t="shared" si="5"/>
        <v>346</v>
      </c>
      <c r="C349" s="115" t="s">
        <v>517</v>
      </c>
      <c r="D349" s="116">
        <v>41470</v>
      </c>
      <c r="E349" s="113" t="s">
        <v>634</v>
      </c>
      <c r="F349" s="117">
        <v>15</v>
      </c>
      <c r="G349" s="118">
        <v>466.1</v>
      </c>
      <c r="H349" s="115" t="s">
        <v>652</v>
      </c>
    </row>
    <row r="350" spans="1:8" x14ac:dyDescent="0.25">
      <c r="A350" s="114" t="s">
        <v>20</v>
      </c>
      <c r="B350" s="114">
        <f t="shared" si="5"/>
        <v>347</v>
      </c>
      <c r="C350" s="115" t="s">
        <v>518</v>
      </c>
      <c r="D350" s="116">
        <v>41472</v>
      </c>
      <c r="E350" s="113" t="s">
        <v>634</v>
      </c>
      <c r="F350" s="117">
        <v>8</v>
      </c>
      <c r="G350" s="118">
        <v>466.1</v>
      </c>
      <c r="H350" s="115" t="s">
        <v>660</v>
      </c>
    </row>
    <row r="351" spans="1:8" x14ac:dyDescent="0.25">
      <c r="A351" s="114" t="s">
        <v>20</v>
      </c>
      <c r="B351" s="114">
        <f t="shared" si="5"/>
        <v>348</v>
      </c>
      <c r="C351" s="115" t="s">
        <v>519</v>
      </c>
      <c r="D351" s="116">
        <v>41470</v>
      </c>
      <c r="E351" s="113" t="s">
        <v>634</v>
      </c>
      <c r="F351" s="117">
        <v>5</v>
      </c>
      <c r="G351" s="118">
        <v>466.1</v>
      </c>
      <c r="H351" s="115" t="s">
        <v>653</v>
      </c>
    </row>
    <row r="352" spans="1:8" x14ac:dyDescent="0.25">
      <c r="A352" s="114" t="s">
        <v>20</v>
      </c>
      <c r="B352" s="114">
        <f t="shared" si="5"/>
        <v>349</v>
      </c>
      <c r="C352" s="115" t="s">
        <v>520</v>
      </c>
      <c r="D352" s="116">
        <v>41471</v>
      </c>
      <c r="E352" s="113" t="s">
        <v>634</v>
      </c>
      <c r="F352" s="117">
        <v>15</v>
      </c>
      <c r="G352" s="118">
        <v>466.1</v>
      </c>
      <c r="H352" s="115" t="s">
        <v>43</v>
      </c>
    </row>
    <row r="353" spans="1:8" x14ac:dyDescent="0.25">
      <c r="A353" s="114" t="s">
        <v>20</v>
      </c>
      <c r="B353" s="114">
        <f t="shared" si="5"/>
        <v>350</v>
      </c>
      <c r="C353" s="115" t="s">
        <v>521</v>
      </c>
      <c r="D353" s="116">
        <v>41471</v>
      </c>
      <c r="E353" s="113" t="s">
        <v>634</v>
      </c>
      <c r="F353" s="117">
        <v>11</v>
      </c>
      <c r="G353" s="118">
        <v>466.1</v>
      </c>
      <c r="H353" s="115" t="s">
        <v>67</v>
      </c>
    </row>
    <row r="354" spans="1:8" x14ac:dyDescent="0.25">
      <c r="A354" s="114" t="s">
        <v>20</v>
      </c>
      <c r="B354" s="114">
        <f t="shared" si="5"/>
        <v>351</v>
      </c>
      <c r="C354" s="115" t="s">
        <v>522</v>
      </c>
      <c r="D354" s="116">
        <v>41480</v>
      </c>
      <c r="E354" s="113" t="s">
        <v>634</v>
      </c>
      <c r="F354" s="117">
        <v>12</v>
      </c>
      <c r="G354" s="118">
        <v>466.1</v>
      </c>
      <c r="H354" s="115" t="s">
        <v>112</v>
      </c>
    </row>
    <row r="355" spans="1:8" x14ac:dyDescent="0.25">
      <c r="A355" s="114" t="s">
        <v>20</v>
      </c>
      <c r="B355" s="114">
        <f t="shared" si="5"/>
        <v>352</v>
      </c>
      <c r="C355" s="115" t="s">
        <v>523</v>
      </c>
      <c r="D355" s="116">
        <v>41481</v>
      </c>
      <c r="E355" s="113" t="s">
        <v>634</v>
      </c>
      <c r="F355" s="117">
        <v>15</v>
      </c>
      <c r="G355" s="118">
        <v>466.1</v>
      </c>
      <c r="H355" s="115" t="s">
        <v>28</v>
      </c>
    </row>
    <row r="356" spans="1:8" x14ac:dyDescent="0.25">
      <c r="A356" s="114" t="s">
        <v>20</v>
      </c>
      <c r="B356" s="114">
        <f t="shared" si="5"/>
        <v>353</v>
      </c>
      <c r="C356" s="115" t="s">
        <v>524</v>
      </c>
      <c r="D356" s="116">
        <v>41478</v>
      </c>
      <c r="E356" s="113" t="s">
        <v>634</v>
      </c>
      <c r="F356" s="117">
        <v>8</v>
      </c>
      <c r="G356" s="118">
        <v>466.1</v>
      </c>
      <c r="H356" s="115" t="s">
        <v>28</v>
      </c>
    </row>
    <row r="357" spans="1:8" x14ac:dyDescent="0.25">
      <c r="A357" s="114" t="s">
        <v>20</v>
      </c>
      <c r="B357" s="114">
        <f t="shared" si="5"/>
        <v>354</v>
      </c>
      <c r="C357" s="115" t="s">
        <v>525</v>
      </c>
      <c r="D357" s="116">
        <v>41473</v>
      </c>
      <c r="E357" s="113" t="s">
        <v>634</v>
      </c>
      <c r="F357" s="117">
        <v>15</v>
      </c>
      <c r="G357" s="118">
        <v>466.1</v>
      </c>
      <c r="H357" s="115" t="s">
        <v>83</v>
      </c>
    </row>
    <row r="358" spans="1:8" x14ac:dyDescent="0.25">
      <c r="A358" s="114" t="s">
        <v>20</v>
      </c>
      <c r="B358" s="114">
        <f t="shared" si="5"/>
        <v>355</v>
      </c>
      <c r="C358" s="115" t="s">
        <v>526</v>
      </c>
      <c r="D358" s="116">
        <v>41486</v>
      </c>
      <c r="E358" s="113" t="s">
        <v>634</v>
      </c>
      <c r="F358" s="117">
        <v>15</v>
      </c>
      <c r="G358" s="118">
        <v>466.1</v>
      </c>
      <c r="H358" s="115" t="s">
        <v>28</v>
      </c>
    </row>
    <row r="359" spans="1:8" x14ac:dyDescent="0.25">
      <c r="A359" s="114" t="s">
        <v>20</v>
      </c>
      <c r="B359" s="114">
        <f t="shared" si="5"/>
        <v>356</v>
      </c>
      <c r="C359" s="115" t="s">
        <v>527</v>
      </c>
      <c r="D359" s="116">
        <v>41481</v>
      </c>
      <c r="E359" s="113" t="s">
        <v>634</v>
      </c>
      <c r="F359" s="117">
        <v>15</v>
      </c>
      <c r="G359" s="118">
        <v>466.1</v>
      </c>
      <c r="H359" s="115" t="s">
        <v>94</v>
      </c>
    </row>
    <row r="360" spans="1:8" x14ac:dyDescent="0.25">
      <c r="A360" s="114" t="s">
        <v>20</v>
      </c>
      <c r="B360" s="114">
        <f t="shared" si="5"/>
        <v>357</v>
      </c>
      <c r="C360" s="115" t="s">
        <v>528</v>
      </c>
      <c r="D360" s="116">
        <v>41474</v>
      </c>
      <c r="E360" s="113" t="s">
        <v>634</v>
      </c>
      <c r="F360" s="117">
        <v>15</v>
      </c>
      <c r="G360" s="118">
        <v>466.1</v>
      </c>
      <c r="H360" s="115" t="s">
        <v>105</v>
      </c>
    </row>
    <row r="361" spans="1:8" x14ac:dyDescent="0.25">
      <c r="A361" s="114" t="s">
        <v>20</v>
      </c>
      <c r="B361" s="114">
        <f t="shared" si="5"/>
        <v>358</v>
      </c>
      <c r="C361" s="115" t="s">
        <v>529</v>
      </c>
      <c r="D361" s="116">
        <v>41477</v>
      </c>
      <c r="E361" s="113" t="s">
        <v>634</v>
      </c>
      <c r="F361" s="117">
        <v>12</v>
      </c>
      <c r="G361" s="118">
        <v>466.1</v>
      </c>
      <c r="H361" s="115" t="s">
        <v>54</v>
      </c>
    </row>
    <row r="362" spans="1:8" x14ac:dyDescent="0.25">
      <c r="A362" s="114" t="s">
        <v>20</v>
      </c>
      <c r="B362" s="114">
        <f t="shared" si="5"/>
        <v>359</v>
      </c>
      <c r="C362" s="115" t="s">
        <v>530</v>
      </c>
      <c r="D362" s="116">
        <v>41486</v>
      </c>
      <c r="E362" s="113" t="s">
        <v>635</v>
      </c>
      <c r="F362" s="117">
        <v>98</v>
      </c>
      <c r="G362" s="118">
        <v>20286</v>
      </c>
      <c r="H362" s="115" t="s">
        <v>33</v>
      </c>
    </row>
    <row r="363" spans="1:8" x14ac:dyDescent="0.25">
      <c r="A363" s="114" t="s">
        <v>20</v>
      </c>
      <c r="B363" s="114">
        <f t="shared" si="5"/>
        <v>360</v>
      </c>
      <c r="C363" s="115" t="s">
        <v>531</v>
      </c>
      <c r="D363" s="116">
        <v>41486</v>
      </c>
      <c r="E363" s="113" t="s">
        <v>634</v>
      </c>
      <c r="F363" s="117">
        <v>8</v>
      </c>
      <c r="G363" s="118">
        <v>466.1</v>
      </c>
      <c r="H363" s="115" t="s">
        <v>49</v>
      </c>
    </row>
    <row r="364" spans="1:8" x14ac:dyDescent="0.25">
      <c r="A364" s="114" t="s">
        <v>20</v>
      </c>
      <c r="B364" s="114">
        <f t="shared" si="5"/>
        <v>361</v>
      </c>
      <c r="C364" s="115" t="s">
        <v>532</v>
      </c>
      <c r="D364" s="116">
        <v>41470</v>
      </c>
      <c r="E364" s="113" t="s">
        <v>634</v>
      </c>
      <c r="F364" s="117">
        <v>3</v>
      </c>
      <c r="G364" s="118">
        <v>466.1</v>
      </c>
      <c r="H364" s="115" t="s">
        <v>652</v>
      </c>
    </row>
    <row r="365" spans="1:8" x14ac:dyDescent="0.25">
      <c r="A365" s="114" t="s">
        <v>20</v>
      </c>
      <c r="B365" s="114">
        <f t="shared" si="5"/>
        <v>362</v>
      </c>
      <c r="C365" s="115" t="s">
        <v>533</v>
      </c>
      <c r="D365" s="116">
        <v>41479</v>
      </c>
      <c r="E365" s="113" t="s">
        <v>634</v>
      </c>
      <c r="F365" s="117">
        <v>15</v>
      </c>
      <c r="G365" s="118">
        <v>466.1</v>
      </c>
      <c r="H365" s="115" t="s">
        <v>679</v>
      </c>
    </row>
    <row r="366" spans="1:8" x14ac:dyDescent="0.25">
      <c r="A366" s="114" t="s">
        <v>20</v>
      </c>
      <c r="B366" s="114">
        <f t="shared" si="5"/>
        <v>363</v>
      </c>
      <c r="C366" s="115" t="s">
        <v>534</v>
      </c>
      <c r="D366" s="116">
        <v>41471</v>
      </c>
      <c r="E366" s="113" t="s">
        <v>634</v>
      </c>
      <c r="F366" s="117">
        <v>8</v>
      </c>
      <c r="G366" s="118">
        <v>466.1</v>
      </c>
      <c r="H366" s="115" t="s">
        <v>661</v>
      </c>
    </row>
    <row r="367" spans="1:8" x14ac:dyDescent="0.25">
      <c r="A367" s="114" t="s">
        <v>20</v>
      </c>
      <c r="B367" s="114">
        <f t="shared" si="5"/>
        <v>364</v>
      </c>
      <c r="C367" s="115" t="s">
        <v>535</v>
      </c>
      <c r="D367" s="116">
        <v>41465</v>
      </c>
      <c r="E367" s="113" t="s">
        <v>634</v>
      </c>
      <c r="F367" s="117">
        <v>15</v>
      </c>
      <c r="G367" s="118">
        <v>466.1</v>
      </c>
      <c r="H367" s="115" t="s">
        <v>28</v>
      </c>
    </row>
    <row r="368" spans="1:8" x14ac:dyDescent="0.25">
      <c r="A368" s="114" t="s">
        <v>20</v>
      </c>
      <c r="B368" s="114">
        <f t="shared" si="5"/>
        <v>365</v>
      </c>
      <c r="C368" s="115" t="s">
        <v>536</v>
      </c>
      <c r="D368" s="116">
        <v>41472</v>
      </c>
      <c r="E368" s="113" t="s">
        <v>635</v>
      </c>
      <c r="F368" s="117">
        <v>35</v>
      </c>
      <c r="G368" s="118">
        <v>22855</v>
      </c>
      <c r="H368" s="115" t="s">
        <v>54</v>
      </c>
    </row>
    <row r="369" spans="1:8" x14ac:dyDescent="0.25">
      <c r="A369" s="114" t="s">
        <v>20</v>
      </c>
      <c r="B369" s="114">
        <f t="shared" si="5"/>
        <v>366</v>
      </c>
      <c r="C369" s="115" t="s">
        <v>537</v>
      </c>
      <c r="D369" s="116">
        <v>41484</v>
      </c>
      <c r="E369" s="113" t="s">
        <v>634</v>
      </c>
      <c r="F369" s="117">
        <v>14</v>
      </c>
      <c r="G369" s="118">
        <v>466.1</v>
      </c>
      <c r="H369" s="115" t="s">
        <v>54</v>
      </c>
    </row>
    <row r="370" spans="1:8" x14ac:dyDescent="0.25">
      <c r="A370" s="114" t="s">
        <v>20</v>
      </c>
      <c r="B370" s="114">
        <f t="shared" si="5"/>
        <v>367</v>
      </c>
      <c r="C370" s="115" t="s">
        <v>538</v>
      </c>
      <c r="D370" s="116">
        <v>41485</v>
      </c>
      <c r="E370" s="113" t="s">
        <v>634</v>
      </c>
      <c r="F370" s="117">
        <v>15</v>
      </c>
      <c r="G370" s="118">
        <v>466.1</v>
      </c>
      <c r="H370" s="115" t="s">
        <v>63</v>
      </c>
    </row>
    <row r="371" spans="1:8" x14ac:dyDescent="0.25">
      <c r="A371" s="114" t="s">
        <v>20</v>
      </c>
      <c r="B371" s="114">
        <f t="shared" si="5"/>
        <v>368</v>
      </c>
      <c r="C371" s="115" t="s">
        <v>539</v>
      </c>
      <c r="D371" s="116">
        <v>41481</v>
      </c>
      <c r="E371" s="113" t="s">
        <v>634</v>
      </c>
      <c r="F371" s="117">
        <v>15</v>
      </c>
      <c r="G371" s="118">
        <v>466.1</v>
      </c>
      <c r="H371" s="115" t="s">
        <v>52</v>
      </c>
    </row>
    <row r="372" spans="1:8" x14ac:dyDescent="0.25">
      <c r="A372" s="114" t="s">
        <v>20</v>
      </c>
      <c r="B372" s="114">
        <f t="shared" si="5"/>
        <v>369</v>
      </c>
      <c r="C372" s="115" t="s">
        <v>540</v>
      </c>
      <c r="D372" s="116">
        <v>41484</v>
      </c>
      <c r="E372" s="113" t="s">
        <v>634</v>
      </c>
      <c r="F372" s="117">
        <v>15</v>
      </c>
      <c r="G372" s="118">
        <v>466.1</v>
      </c>
      <c r="H372" s="115" t="s">
        <v>52</v>
      </c>
    </row>
    <row r="373" spans="1:8" x14ac:dyDescent="0.25">
      <c r="A373" s="114" t="s">
        <v>20</v>
      </c>
      <c r="B373" s="114">
        <f t="shared" si="5"/>
        <v>370</v>
      </c>
      <c r="C373" s="115" t="s">
        <v>541</v>
      </c>
      <c r="D373" s="116">
        <v>41484</v>
      </c>
      <c r="E373" s="113" t="s">
        <v>634</v>
      </c>
      <c r="F373" s="117">
        <v>8</v>
      </c>
      <c r="G373" s="118">
        <v>466.1</v>
      </c>
      <c r="H373" s="115" t="s">
        <v>652</v>
      </c>
    </row>
    <row r="374" spans="1:8" x14ac:dyDescent="0.25">
      <c r="A374" s="114" t="s">
        <v>20</v>
      </c>
      <c r="B374" s="114">
        <f t="shared" si="5"/>
        <v>371</v>
      </c>
      <c r="C374" s="115" t="s">
        <v>542</v>
      </c>
      <c r="D374" s="116">
        <v>41486</v>
      </c>
      <c r="E374" s="113" t="s">
        <v>634</v>
      </c>
      <c r="F374" s="117">
        <v>8</v>
      </c>
      <c r="G374" s="118">
        <v>466.1</v>
      </c>
      <c r="H374" s="115" t="s">
        <v>33</v>
      </c>
    </row>
    <row r="375" spans="1:8" x14ac:dyDescent="0.25">
      <c r="A375" s="114" t="s">
        <v>20</v>
      </c>
      <c r="B375" s="114">
        <f t="shared" si="5"/>
        <v>372</v>
      </c>
      <c r="C375" s="115" t="s">
        <v>543</v>
      </c>
      <c r="D375" s="116">
        <v>41486</v>
      </c>
      <c r="E375" s="113" t="s">
        <v>634</v>
      </c>
      <c r="F375" s="117">
        <v>8</v>
      </c>
      <c r="G375" s="118">
        <v>466.1</v>
      </c>
      <c r="H375" s="115" t="s">
        <v>33</v>
      </c>
    </row>
    <row r="376" spans="1:8" x14ac:dyDescent="0.25">
      <c r="A376" s="114" t="s">
        <v>20</v>
      </c>
      <c r="B376" s="114">
        <f t="shared" si="5"/>
        <v>373</v>
      </c>
      <c r="C376" s="115" t="s">
        <v>544</v>
      </c>
      <c r="D376" s="116">
        <v>41485</v>
      </c>
      <c r="E376" s="113" t="s">
        <v>634</v>
      </c>
      <c r="F376" s="117">
        <v>6</v>
      </c>
      <c r="G376" s="118">
        <v>466.1</v>
      </c>
      <c r="H376" s="115" t="s">
        <v>66</v>
      </c>
    </row>
    <row r="377" spans="1:8" x14ac:dyDescent="0.25">
      <c r="A377" s="114" t="s">
        <v>20</v>
      </c>
      <c r="B377" s="114">
        <f t="shared" si="5"/>
        <v>374</v>
      </c>
      <c r="C377" s="115" t="s">
        <v>545</v>
      </c>
      <c r="D377" s="116">
        <v>41484</v>
      </c>
      <c r="E377" s="113" t="s">
        <v>634</v>
      </c>
      <c r="F377" s="117">
        <v>15</v>
      </c>
      <c r="G377" s="118">
        <v>466.1</v>
      </c>
      <c r="H377" s="115" t="s">
        <v>679</v>
      </c>
    </row>
    <row r="378" spans="1:8" x14ac:dyDescent="0.25">
      <c r="A378" s="114" t="s">
        <v>20</v>
      </c>
      <c r="B378" s="114">
        <f t="shared" si="5"/>
        <v>375</v>
      </c>
      <c r="C378" s="115" t="s">
        <v>546</v>
      </c>
      <c r="D378" s="116">
        <v>41456</v>
      </c>
      <c r="E378" s="113" t="s">
        <v>635</v>
      </c>
      <c r="F378" s="117">
        <v>95</v>
      </c>
      <c r="G378" s="118">
        <v>194225.31</v>
      </c>
      <c r="H378" s="115" t="s">
        <v>58</v>
      </c>
    </row>
    <row r="379" spans="1:8" x14ac:dyDescent="0.25">
      <c r="A379" s="114" t="s">
        <v>20</v>
      </c>
      <c r="B379" s="114">
        <f t="shared" si="5"/>
        <v>376</v>
      </c>
      <c r="C379" s="115" t="s">
        <v>547</v>
      </c>
      <c r="D379" s="116">
        <v>41460</v>
      </c>
      <c r="E379" s="113" t="s">
        <v>634</v>
      </c>
      <c r="F379" s="117">
        <v>12</v>
      </c>
      <c r="G379" s="118">
        <v>466.1</v>
      </c>
      <c r="H379" s="115" t="s">
        <v>662</v>
      </c>
    </row>
    <row r="380" spans="1:8" x14ac:dyDescent="0.25">
      <c r="A380" s="114" t="s">
        <v>20</v>
      </c>
      <c r="B380" s="114">
        <f t="shared" si="5"/>
        <v>377</v>
      </c>
      <c r="C380" s="115" t="s">
        <v>548</v>
      </c>
      <c r="D380" s="116">
        <v>41457</v>
      </c>
      <c r="E380" s="113" t="s">
        <v>634</v>
      </c>
      <c r="F380" s="117">
        <v>12</v>
      </c>
      <c r="G380" s="118">
        <v>466.1</v>
      </c>
      <c r="H380" s="115" t="s">
        <v>79</v>
      </c>
    </row>
    <row r="381" spans="1:8" x14ac:dyDescent="0.25">
      <c r="A381" s="114" t="s">
        <v>20</v>
      </c>
      <c r="B381" s="114">
        <f t="shared" si="5"/>
        <v>378</v>
      </c>
      <c r="C381" s="115" t="s">
        <v>549</v>
      </c>
      <c r="D381" s="116">
        <v>41460</v>
      </c>
      <c r="E381" s="113" t="s">
        <v>634</v>
      </c>
      <c r="F381" s="117">
        <v>10</v>
      </c>
      <c r="G381" s="118">
        <v>466.1</v>
      </c>
      <c r="H381" s="115" t="s">
        <v>663</v>
      </c>
    </row>
    <row r="382" spans="1:8" x14ac:dyDescent="0.25">
      <c r="A382" s="114" t="s">
        <v>20</v>
      </c>
      <c r="B382" s="114">
        <f t="shared" si="5"/>
        <v>379</v>
      </c>
      <c r="C382" s="115" t="s">
        <v>550</v>
      </c>
      <c r="D382" s="116">
        <v>41481</v>
      </c>
      <c r="E382" s="113" t="s">
        <v>634</v>
      </c>
      <c r="F382" s="117">
        <v>8</v>
      </c>
      <c r="G382" s="118">
        <v>466.1</v>
      </c>
      <c r="H382" s="115" t="s">
        <v>57</v>
      </c>
    </row>
    <row r="383" spans="1:8" x14ac:dyDescent="0.25">
      <c r="A383" s="114" t="s">
        <v>20</v>
      </c>
      <c r="B383" s="114">
        <f t="shared" si="5"/>
        <v>380</v>
      </c>
      <c r="C383" s="115" t="s">
        <v>551</v>
      </c>
      <c r="D383" s="116">
        <v>41471</v>
      </c>
      <c r="E383" s="113" t="s">
        <v>634</v>
      </c>
      <c r="F383" s="117">
        <v>10</v>
      </c>
      <c r="G383" s="118">
        <v>466.1</v>
      </c>
      <c r="H383" s="115" t="s">
        <v>61</v>
      </c>
    </row>
    <row r="384" spans="1:8" x14ac:dyDescent="0.25">
      <c r="A384" s="114" t="s">
        <v>20</v>
      </c>
      <c r="B384" s="114">
        <f t="shared" si="5"/>
        <v>381</v>
      </c>
      <c r="C384" s="115" t="s">
        <v>552</v>
      </c>
      <c r="D384" s="116">
        <v>41481</v>
      </c>
      <c r="E384" s="113" t="s">
        <v>634</v>
      </c>
      <c r="F384" s="117">
        <v>10</v>
      </c>
      <c r="G384" s="118">
        <v>466.1</v>
      </c>
      <c r="H384" s="115" t="s">
        <v>61</v>
      </c>
    </row>
    <row r="385" spans="1:8" x14ac:dyDescent="0.25">
      <c r="A385" s="114" t="s">
        <v>20</v>
      </c>
      <c r="B385" s="114">
        <f t="shared" si="5"/>
        <v>382</v>
      </c>
      <c r="C385" s="115" t="s">
        <v>553</v>
      </c>
      <c r="D385" s="116">
        <v>41457</v>
      </c>
      <c r="E385" s="113" t="s">
        <v>634</v>
      </c>
      <c r="F385" s="117">
        <v>7</v>
      </c>
      <c r="G385" s="118">
        <v>466.1</v>
      </c>
      <c r="H385" s="115" t="s">
        <v>79</v>
      </c>
    </row>
    <row r="386" spans="1:8" x14ac:dyDescent="0.25">
      <c r="A386" s="114" t="s">
        <v>20</v>
      </c>
      <c r="B386" s="114">
        <f t="shared" si="5"/>
        <v>383</v>
      </c>
      <c r="C386" s="115" t="s">
        <v>554</v>
      </c>
      <c r="D386" s="116">
        <v>41463</v>
      </c>
      <c r="E386" s="113" t="s">
        <v>634</v>
      </c>
      <c r="F386" s="117">
        <v>10</v>
      </c>
      <c r="G386" s="118">
        <v>466.1</v>
      </c>
      <c r="H386" s="115" t="s">
        <v>664</v>
      </c>
    </row>
    <row r="387" spans="1:8" x14ac:dyDescent="0.25">
      <c r="A387" s="114" t="s">
        <v>20</v>
      </c>
      <c r="B387" s="114">
        <f t="shared" si="5"/>
        <v>384</v>
      </c>
      <c r="C387" s="115" t="s">
        <v>555</v>
      </c>
      <c r="D387" s="116">
        <v>41463</v>
      </c>
      <c r="E387" s="113" t="s">
        <v>634</v>
      </c>
      <c r="F387" s="117">
        <v>10</v>
      </c>
      <c r="G387" s="118">
        <v>466.1</v>
      </c>
      <c r="H387" s="115" t="s">
        <v>664</v>
      </c>
    </row>
    <row r="388" spans="1:8" x14ac:dyDescent="0.25">
      <c r="A388" s="114" t="s">
        <v>20</v>
      </c>
      <c r="B388" s="114">
        <f t="shared" si="5"/>
        <v>385</v>
      </c>
      <c r="C388" s="115" t="s">
        <v>556</v>
      </c>
      <c r="D388" s="116">
        <v>41460</v>
      </c>
      <c r="E388" s="113" t="s">
        <v>634</v>
      </c>
      <c r="F388" s="117">
        <v>12</v>
      </c>
      <c r="G388" s="118">
        <v>466.1</v>
      </c>
      <c r="H388" s="115" t="s">
        <v>59</v>
      </c>
    </row>
    <row r="389" spans="1:8" x14ac:dyDescent="0.25">
      <c r="A389" s="114" t="s">
        <v>20</v>
      </c>
      <c r="B389" s="114">
        <f t="shared" si="5"/>
        <v>386</v>
      </c>
      <c r="C389" s="115" t="s">
        <v>557</v>
      </c>
      <c r="D389" s="116">
        <v>41471</v>
      </c>
      <c r="E389" s="113" t="s">
        <v>634</v>
      </c>
      <c r="F389" s="117">
        <v>5</v>
      </c>
      <c r="G389" s="118">
        <v>466.1</v>
      </c>
      <c r="H389" s="115" t="s">
        <v>642</v>
      </c>
    </row>
    <row r="390" spans="1:8" ht="16.5" customHeight="1" x14ac:dyDescent="0.25">
      <c r="A390" s="114" t="s">
        <v>20</v>
      </c>
      <c r="B390" s="114">
        <f t="shared" ref="B390:B453" si="6">B389+1</f>
        <v>387</v>
      </c>
      <c r="C390" s="115" t="s">
        <v>558</v>
      </c>
      <c r="D390" s="116">
        <v>41471</v>
      </c>
      <c r="E390" s="113" t="s">
        <v>635</v>
      </c>
      <c r="F390" s="117">
        <v>100</v>
      </c>
      <c r="G390" s="118">
        <v>481201.91999999998</v>
      </c>
      <c r="H390" s="115" t="s">
        <v>665</v>
      </c>
    </row>
    <row r="391" spans="1:8" x14ac:dyDescent="0.25">
      <c r="A391" s="114" t="s">
        <v>20</v>
      </c>
      <c r="B391" s="114">
        <f t="shared" si="6"/>
        <v>388</v>
      </c>
      <c r="C391" s="115" t="s">
        <v>559</v>
      </c>
      <c r="D391" s="116">
        <v>41478</v>
      </c>
      <c r="E391" s="113" t="s">
        <v>634</v>
      </c>
      <c r="F391" s="117">
        <v>3</v>
      </c>
      <c r="G391" s="118">
        <v>466.1</v>
      </c>
      <c r="H391" s="115" t="s">
        <v>59</v>
      </c>
    </row>
    <row r="392" spans="1:8" x14ac:dyDescent="0.25">
      <c r="A392" s="114" t="s">
        <v>20</v>
      </c>
      <c r="B392" s="114">
        <f t="shared" si="6"/>
        <v>389</v>
      </c>
      <c r="C392" s="115" t="s">
        <v>560</v>
      </c>
      <c r="D392" s="116">
        <v>41479</v>
      </c>
      <c r="E392" s="113" t="s">
        <v>634</v>
      </c>
      <c r="F392" s="117">
        <v>7</v>
      </c>
      <c r="G392" s="118">
        <v>466.1</v>
      </c>
      <c r="H392" s="115" t="s">
        <v>642</v>
      </c>
    </row>
    <row r="393" spans="1:8" x14ac:dyDescent="0.25">
      <c r="A393" s="114" t="s">
        <v>20</v>
      </c>
      <c r="B393" s="114">
        <f t="shared" si="6"/>
        <v>390</v>
      </c>
      <c r="C393" s="115" t="s">
        <v>561</v>
      </c>
      <c r="D393" s="116">
        <v>41480</v>
      </c>
      <c r="E393" s="113" t="s">
        <v>634</v>
      </c>
      <c r="F393" s="117">
        <v>90</v>
      </c>
      <c r="G393" s="118">
        <v>587531.26</v>
      </c>
      <c r="H393" s="115" t="s">
        <v>36</v>
      </c>
    </row>
    <row r="394" spans="1:8" x14ac:dyDescent="0.25">
      <c r="A394" s="114" t="s">
        <v>20</v>
      </c>
      <c r="B394" s="114">
        <f t="shared" si="6"/>
        <v>391</v>
      </c>
      <c r="C394" s="115" t="s">
        <v>562</v>
      </c>
      <c r="D394" s="116">
        <v>41456</v>
      </c>
      <c r="E394" s="113" t="s">
        <v>634</v>
      </c>
      <c r="F394" s="117">
        <v>5</v>
      </c>
      <c r="G394" s="118">
        <v>466.1</v>
      </c>
      <c r="H394" s="115" t="s">
        <v>664</v>
      </c>
    </row>
    <row r="395" spans="1:8" x14ac:dyDescent="0.25">
      <c r="A395" s="114" t="s">
        <v>20</v>
      </c>
      <c r="B395" s="114">
        <f t="shared" si="6"/>
        <v>392</v>
      </c>
      <c r="C395" s="115" t="s">
        <v>563</v>
      </c>
      <c r="D395" s="116">
        <v>41456</v>
      </c>
      <c r="E395" s="113" t="s">
        <v>634</v>
      </c>
      <c r="F395" s="117">
        <v>5</v>
      </c>
      <c r="G395" s="118">
        <v>466.1</v>
      </c>
      <c r="H395" s="115" t="s">
        <v>666</v>
      </c>
    </row>
    <row r="396" spans="1:8" x14ac:dyDescent="0.25">
      <c r="A396" s="114" t="s">
        <v>20</v>
      </c>
      <c r="B396" s="114">
        <f t="shared" si="6"/>
        <v>393</v>
      </c>
      <c r="C396" s="115" t="s">
        <v>564</v>
      </c>
      <c r="D396" s="116">
        <v>41459</v>
      </c>
      <c r="E396" s="113" t="s">
        <v>634</v>
      </c>
      <c r="F396" s="117">
        <v>4</v>
      </c>
      <c r="G396" s="118">
        <v>466.1</v>
      </c>
      <c r="H396" s="115" t="s">
        <v>664</v>
      </c>
    </row>
    <row r="397" spans="1:8" x14ac:dyDescent="0.25">
      <c r="A397" s="114" t="s">
        <v>20</v>
      </c>
      <c r="B397" s="114">
        <f t="shared" si="6"/>
        <v>394</v>
      </c>
      <c r="C397" s="115" t="s">
        <v>565</v>
      </c>
      <c r="D397" s="116">
        <v>41458</v>
      </c>
      <c r="E397" s="113" t="s">
        <v>634</v>
      </c>
      <c r="F397" s="117">
        <v>11</v>
      </c>
      <c r="G397" s="118">
        <v>466.1</v>
      </c>
      <c r="H397" s="115" t="s">
        <v>61</v>
      </c>
    </row>
    <row r="398" spans="1:8" x14ac:dyDescent="0.25">
      <c r="A398" s="114" t="s">
        <v>20</v>
      </c>
      <c r="B398" s="114">
        <f t="shared" si="6"/>
        <v>395</v>
      </c>
      <c r="C398" s="115" t="s">
        <v>566</v>
      </c>
      <c r="D398" s="116">
        <v>41464</v>
      </c>
      <c r="E398" s="113" t="s">
        <v>635</v>
      </c>
      <c r="F398" s="117">
        <v>93</v>
      </c>
      <c r="G398" s="118">
        <v>589490.26</v>
      </c>
      <c r="H398" s="115" t="s">
        <v>667</v>
      </c>
    </row>
    <row r="399" spans="1:8" x14ac:dyDescent="0.25">
      <c r="A399" s="114" t="s">
        <v>20</v>
      </c>
      <c r="B399" s="114">
        <f t="shared" si="6"/>
        <v>396</v>
      </c>
      <c r="C399" s="115" t="s">
        <v>567</v>
      </c>
      <c r="D399" s="116">
        <v>41458</v>
      </c>
      <c r="E399" s="113" t="s">
        <v>634</v>
      </c>
      <c r="F399" s="117">
        <v>15</v>
      </c>
      <c r="G399" s="118">
        <v>466.1</v>
      </c>
      <c r="H399" s="115" t="s">
        <v>59</v>
      </c>
    </row>
    <row r="400" spans="1:8" x14ac:dyDescent="0.25">
      <c r="A400" s="114" t="s">
        <v>20</v>
      </c>
      <c r="B400" s="114">
        <f t="shared" si="6"/>
        <v>397</v>
      </c>
      <c r="C400" s="115" t="s">
        <v>568</v>
      </c>
      <c r="D400" s="116">
        <v>41470</v>
      </c>
      <c r="E400" s="113" t="s">
        <v>634</v>
      </c>
      <c r="F400" s="117">
        <v>15</v>
      </c>
      <c r="G400" s="118">
        <v>466.1</v>
      </c>
      <c r="H400" s="115" t="s">
        <v>59</v>
      </c>
    </row>
    <row r="401" spans="1:8" x14ac:dyDescent="0.25">
      <c r="A401" s="114" t="s">
        <v>20</v>
      </c>
      <c r="B401" s="114">
        <f t="shared" si="6"/>
        <v>398</v>
      </c>
      <c r="C401" s="115" t="s">
        <v>569</v>
      </c>
      <c r="D401" s="116">
        <v>41484</v>
      </c>
      <c r="E401" s="113" t="s">
        <v>634</v>
      </c>
      <c r="F401" s="117">
        <v>14</v>
      </c>
      <c r="G401" s="118">
        <v>466.1</v>
      </c>
      <c r="H401" s="115" t="s">
        <v>24</v>
      </c>
    </row>
    <row r="402" spans="1:8" x14ac:dyDescent="0.25">
      <c r="A402" s="114" t="s">
        <v>20</v>
      </c>
      <c r="B402" s="114">
        <f t="shared" si="6"/>
        <v>399</v>
      </c>
      <c r="C402" s="115" t="s">
        <v>570</v>
      </c>
      <c r="D402" s="116">
        <v>41457</v>
      </c>
      <c r="E402" s="113" t="s">
        <v>634</v>
      </c>
      <c r="F402" s="117">
        <v>15</v>
      </c>
      <c r="G402" s="118">
        <v>466.1</v>
      </c>
      <c r="H402" s="115" t="s">
        <v>61</v>
      </c>
    </row>
    <row r="403" spans="1:8" x14ac:dyDescent="0.25">
      <c r="A403" s="114" t="s">
        <v>20</v>
      </c>
      <c r="B403" s="114">
        <f t="shared" si="6"/>
        <v>400</v>
      </c>
      <c r="C403" s="115" t="s">
        <v>571</v>
      </c>
      <c r="D403" s="116">
        <v>41474</v>
      </c>
      <c r="E403" s="113" t="s">
        <v>634</v>
      </c>
      <c r="F403" s="117">
        <v>15</v>
      </c>
      <c r="G403" s="118">
        <v>466.1</v>
      </c>
      <c r="H403" s="115" t="s">
        <v>59</v>
      </c>
    </row>
    <row r="404" spans="1:8" x14ac:dyDescent="0.25">
      <c r="A404" s="114" t="s">
        <v>20</v>
      </c>
      <c r="B404" s="114">
        <f t="shared" si="6"/>
        <v>401</v>
      </c>
      <c r="C404" s="115" t="s">
        <v>572</v>
      </c>
      <c r="D404" s="116">
        <v>41458</v>
      </c>
      <c r="E404" s="113" t="s">
        <v>634</v>
      </c>
      <c r="F404" s="117">
        <v>7</v>
      </c>
      <c r="G404" s="118">
        <v>466.1</v>
      </c>
      <c r="H404" s="115" t="s">
        <v>36</v>
      </c>
    </row>
    <row r="405" spans="1:8" x14ac:dyDescent="0.25">
      <c r="A405" s="114" t="s">
        <v>20</v>
      </c>
      <c r="B405" s="114">
        <f t="shared" si="6"/>
        <v>402</v>
      </c>
      <c r="C405" s="115" t="s">
        <v>573</v>
      </c>
      <c r="D405" s="116">
        <v>41465</v>
      </c>
      <c r="E405" s="113" t="s">
        <v>634</v>
      </c>
      <c r="F405" s="117">
        <v>13</v>
      </c>
      <c r="G405" s="118">
        <v>466.1</v>
      </c>
      <c r="H405" s="115" t="s">
        <v>127</v>
      </c>
    </row>
    <row r="406" spans="1:8" x14ac:dyDescent="0.25">
      <c r="A406" s="114" t="s">
        <v>20</v>
      </c>
      <c r="B406" s="114">
        <f t="shared" si="6"/>
        <v>403</v>
      </c>
      <c r="C406" s="115" t="s">
        <v>574</v>
      </c>
      <c r="D406" s="116">
        <v>41463</v>
      </c>
      <c r="E406" s="113" t="s">
        <v>634</v>
      </c>
      <c r="F406" s="117">
        <v>8</v>
      </c>
      <c r="G406" s="118">
        <v>466.1</v>
      </c>
      <c r="H406" s="115" t="s">
        <v>57</v>
      </c>
    </row>
    <row r="407" spans="1:8" x14ac:dyDescent="0.25">
      <c r="A407" s="114" t="s">
        <v>20</v>
      </c>
      <c r="B407" s="114">
        <f t="shared" si="6"/>
        <v>404</v>
      </c>
      <c r="C407" s="115" t="s">
        <v>575</v>
      </c>
      <c r="D407" s="116">
        <v>41466</v>
      </c>
      <c r="E407" s="113" t="s">
        <v>634</v>
      </c>
      <c r="F407" s="117">
        <v>5</v>
      </c>
      <c r="G407" s="118">
        <v>466.1</v>
      </c>
      <c r="H407" s="115" t="s">
        <v>642</v>
      </c>
    </row>
    <row r="408" spans="1:8" x14ac:dyDescent="0.25">
      <c r="A408" s="114" t="s">
        <v>20</v>
      </c>
      <c r="B408" s="114">
        <f t="shared" si="6"/>
        <v>405</v>
      </c>
      <c r="C408" s="115" t="s">
        <v>576</v>
      </c>
      <c r="D408" s="116">
        <v>41460</v>
      </c>
      <c r="E408" s="113" t="s">
        <v>634</v>
      </c>
      <c r="F408" s="117">
        <v>5</v>
      </c>
      <c r="G408" s="118">
        <v>466.1</v>
      </c>
      <c r="H408" s="115" t="s">
        <v>59</v>
      </c>
    </row>
    <row r="409" spans="1:8" x14ac:dyDescent="0.25">
      <c r="A409" s="114" t="s">
        <v>20</v>
      </c>
      <c r="B409" s="114">
        <f t="shared" si="6"/>
        <v>406</v>
      </c>
      <c r="C409" s="115" t="s">
        <v>577</v>
      </c>
      <c r="D409" s="116">
        <v>41460</v>
      </c>
      <c r="E409" s="113" t="s">
        <v>634</v>
      </c>
      <c r="F409" s="117">
        <v>7</v>
      </c>
      <c r="G409" s="118">
        <v>466.1</v>
      </c>
      <c r="H409" s="115" t="s">
        <v>642</v>
      </c>
    </row>
    <row r="410" spans="1:8" x14ac:dyDescent="0.25">
      <c r="A410" s="114" t="s">
        <v>20</v>
      </c>
      <c r="B410" s="114">
        <f t="shared" si="6"/>
        <v>407</v>
      </c>
      <c r="C410" s="115" t="s">
        <v>578</v>
      </c>
      <c r="D410" s="116">
        <v>41460</v>
      </c>
      <c r="E410" s="113" t="s">
        <v>634</v>
      </c>
      <c r="F410" s="117">
        <v>10</v>
      </c>
      <c r="G410" s="118">
        <v>466.1</v>
      </c>
      <c r="H410" s="115" t="s">
        <v>642</v>
      </c>
    </row>
    <row r="411" spans="1:8" x14ac:dyDescent="0.25">
      <c r="A411" s="114" t="s">
        <v>20</v>
      </c>
      <c r="B411" s="114">
        <f t="shared" si="6"/>
        <v>408</v>
      </c>
      <c r="C411" s="115" t="s">
        <v>579</v>
      </c>
      <c r="D411" s="116">
        <v>41460</v>
      </c>
      <c r="E411" s="113" t="s">
        <v>634</v>
      </c>
      <c r="F411" s="117">
        <v>10</v>
      </c>
      <c r="G411" s="118">
        <v>466.1</v>
      </c>
      <c r="H411" s="115" t="s">
        <v>58</v>
      </c>
    </row>
    <row r="412" spans="1:8" x14ac:dyDescent="0.25">
      <c r="A412" s="114" t="s">
        <v>20</v>
      </c>
      <c r="B412" s="114">
        <f t="shared" si="6"/>
        <v>409</v>
      </c>
      <c r="C412" s="115" t="s">
        <v>580</v>
      </c>
      <c r="D412" s="116">
        <v>41460</v>
      </c>
      <c r="E412" s="113" t="s">
        <v>634</v>
      </c>
      <c r="F412" s="117">
        <v>4</v>
      </c>
      <c r="G412" s="118">
        <v>466.1</v>
      </c>
      <c r="H412" s="115" t="s">
        <v>642</v>
      </c>
    </row>
    <row r="413" spans="1:8" x14ac:dyDescent="0.25">
      <c r="A413" s="114" t="s">
        <v>20</v>
      </c>
      <c r="B413" s="114">
        <f t="shared" si="6"/>
        <v>410</v>
      </c>
      <c r="C413" s="115" t="s">
        <v>581</v>
      </c>
      <c r="D413" s="116">
        <v>41463</v>
      </c>
      <c r="E413" s="113" t="s">
        <v>634</v>
      </c>
      <c r="F413" s="117">
        <v>8</v>
      </c>
      <c r="G413" s="118">
        <v>466.1</v>
      </c>
      <c r="H413" s="115" t="s">
        <v>642</v>
      </c>
    </row>
    <row r="414" spans="1:8" x14ac:dyDescent="0.25">
      <c r="A414" s="114" t="s">
        <v>20</v>
      </c>
      <c r="B414" s="114">
        <f t="shared" si="6"/>
        <v>411</v>
      </c>
      <c r="C414" s="115" t="s">
        <v>582</v>
      </c>
      <c r="D414" s="116">
        <v>41484</v>
      </c>
      <c r="E414" s="113" t="s">
        <v>634</v>
      </c>
      <c r="F414" s="117">
        <v>1.7</v>
      </c>
      <c r="G414" s="118">
        <v>466.1</v>
      </c>
      <c r="H414" s="115" t="s">
        <v>57</v>
      </c>
    </row>
    <row r="415" spans="1:8" x14ac:dyDescent="0.25">
      <c r="A415" s="114" t="s">
        <v>20</v>
      </c>
      <c r="B415" s="114">
        <f t="shared" si="6"/>
        <v>412</v>
      </c>
      <c r="C415" s="115" t="s">
        <v>583</v>
      </c>
      <c r="D415" s="116">
        <v>41479</v>
      </c>
      <c r="E415" s="113" t="s">
        <v>634</v>
      </c>
      <c r="F415" s="117">
        <v>15</v>
      </c>
      <c r="G415" s="118">
        <v>466.1</v>
      </c>
      <c r="H415" s="115" t="s">
        <v>36</v>
      </c>
    </row>
    <row r="416" spans="1:8" x14ac:dyDescent="0.25">
      <c r="A416" s="114" t="s">
        <v>20</v>
      </c>
      <c r="B416" s="114">
        <f t="shared" si="6"/>
        <v>413</v>
      </c>
      <c r="C416" s="115" t="s">
        <v>584</v>
      </c>
      <c r="D416" s="116">
        <v>41481</v>
      </c>
      <c r="E416" s="113" t="s">
        <v>634</v>
      </c>
      <c r="F416" s="117">
        <v>11</v>
      </c>
      <c r="G416" s="118">
        <v>466.1</v>
      </c>
      <c r="H416" s="115" t="s">
        <v>59</v>
      </c>
    </row>
    <row r="417" spans="1:8" x14ac:dyDescent="0.25">
      <c r="A417" s="114" t="s">
        <v>20</v>
      </c>
      <c r="B417" s="114">
        <f t="shared" si="6"/>
        <v>414</v>
      </c>
      <c r="C417" s="115" t="s">
        <v>585</v>
      </c>
      <c r="D417" s="116">
        <v>41481</v>
      </c>
      <c r="E417" s="113" t="s">
        <v>635</v>
      </c>
      <c r="F417" s="117">
        <v>50.300000000000004</v>
      </c>
      <c r="G417" s="118">
        <v>10412.1</v>
      </c>
      <c r="H417" s="115" t="s">
        <v>664</v>
      </c>
    </row>
    <row r="418" spans="1:8" x14ac:dyDescent="0.25">
      <c r="A418" s="114" t="s">
        <v>20</v>
      </c>
      <c r="B418" s="114">
        <f t="shared" si="6"/>
        <v>415</v>
      </c>
      <c r="C418" s="115" t="s">
        <v>586</v>
      </c>
      <c r="D418" s="116">
        <v>41480</v>
      </c>
      <c r="E418" s="113" t="s">
        <v>634</v>
      </c>
      <c r="F418" s="117">
        <v>5</v>
      </c>
      <c r="G418" s="118">
        <v>466.1</v>
      </c>
      <c r="H418" s="115" t="s">
        <v>668</v>
      </c>
    </row>
    <row r="419" spans="1:8" x14ac:dyDescent="0.25">
      <c r="A419" s="114" t="s">
        <v>20</v>
      </c>
      <c r="B419" s="114">
        <f t="shared" si="6"/>
        <v>416</v>
      </c>
      <c r="C419" s="115" t="s">
        <v>587</v>
      </c>
      <c r="D419" s="116">
        <v>41472</v>
      </c>
      <c r="E419" s="113" t="s">
        <v>634</v>
      </c>
      <c r="F419" s="117">
        <v>5</v>
      </c>
      <c r="G419" s="118">
        <v>466.1</v>
      </c>
      <c r="H419" s="115" t="s">
        <v>669</v>
      </c>
    </row>
    <row r="420" spans="1:8" x14ac:dyDescent="0.25">
      <c r="A420" s="114" t="s">
        <v>20</v>
      </c>
      <c r="B420" s="114">
        <f t="shared" si="6"/>
        <v>417</v>
      </c>
      <c r="C420" s="115" t="s">
        <v>588</v>
      </c>
      <c r="D420" s="116">
        <v>41466</v>
      </c>
      <c r="E420" s="113" t="s">
        <v>634</v>
      </c>
      <c r="F420" s="117">
        <v>7</v>
      </c>
      <c r="G420" s="118">
        <v>466.1</v>
      </c>
      <c r="H420" s="115" t="s">
        <v>59</v>
      </c>
    </row>
    <row r="421" spans="1:8" x14ac:dyDescent="0.25">
      <c r="A421" s="114" t="s">
        <v>20</v>
      </c>
      <c r="B421" s="114">
        <f t="shared" si="6"/>
        <v>418</v>
      </c>
      <c r="C421" s="115" t="s">
        <v>589</v>
      </c>
      <c r="D421" s="116">
        <v>41470</v>
      </c>
      <c r="E421" s="113" t="s">
        <v>634</v>
      </c>
      <c r="F421" s="117">
        <v>10</v>
      </c>
      <c r="G421" s="118">
        <v>466.1</v>
      </c>
      <c r="H421" s="115" t="s">
        <v>24</v>
      </c>
    </row>
    <row r="422" spans="1:8" x14ac:dyDescent="0.25">
      <c r="A422" s="114" t="s">
        <v>20</v>
      </c>
      <c r="B422" s="114">
        <f t="shared" si="6"/>
        <v>419</v>
      </c>
      <c r="C422" s="115" t="s">
        <v>590</v>
      </c>
      <c r="D422" s="116">
        <v>41470</v>
      </c>
      <c r="E422" s="113" t="s">
        <v>634</v>
      </c>
      <c r="F422" s="117">
        <v>15</v>
      </c>
      <c r="G422" s="118">
        <v>466.1</v>
      </c>
      <c r="H422" s="115" t="s">
        <v>642</v>
      </c>
    </row>
    <row r="423" spans="1:8" x14ac:dyDescent="0.25">
      <c r="A423" s="114" t="s">
        <v>20</v>
      </c>
      <c r="B423" s="114">
        <f t="shared" si="6"/>
        <v>420</v>
      </c>
      <c r="C423" s="115" t="s">
        <v>591</v>
      </c>
      <c r="D423" s="116">
        <v>41471</v>
      </c>
      <c r="E423" s="113" t="s">
        <v>634</v>
      </c>
      <c r="F423" s="117">
        <v>10</v>
      </c>
      <c r="G423" s="118">
        <v>466.1</v>
      </c>
      <c r="H423" s="115" t="s">
        <v>59</v>
      </c>
    </row>
    <row r="424" spans="1:8" x14ac:dyDescent="0.25">
      <c r="A424" s="114" t="s">
        <v>20</v>
      </c>
      <c r="B424" s="114">
        <f t="shared" si="6"/>
        <v>421</v>
      </c>
      <c r="C424" s="115" t="s">
        <v>592</v>
      </c>
      <c r="D424" s="116">
        <v>41463</v>
      </c>
      <c r="E424" s="113" t="s">
        <v>634</v>
      </c>
      <c r="F424" s="117">
        <v>15</v>
      </c>
      <c r="G424" s="118">
        <v>466.1</v>
      </c>
      <c r="H424" s="115" t="s">
        <v>79</v>
      </c>
    </row>
    <row r="425" spans="1:8" x14ac:dyDescent="0.25">
      <c r="A425" s="114" t="s">
        <v>20</v>
      </c>
      <c r="B425" s="114">
        <f t="shared" si="6"/>
        <v>422</v>
      </c>
      <c r="C425" s="115" t="s">
        <v>593</v>
      </c>
      <c r="D425" s="116">
        <v>41463</v>
      </c>
      <c r="E425" s="113" t="s">
        <v>634</v>
      </c>
      <c r="F425" s="117">
        <v>15</v>
      </c>
      <c r="G425" s="118">
        <v>466.1</v>
      </c>
      <c r="H425" s="115" t="s">
        <v>79</v>
      </c>
    </row>
    <row r="426" spans="1:8" x14ac:dyDescent="0.25">
      <c r="A426" s="114" t="s">
        <v>20</v>
      </c>
      <c r="B426" s="114">
        <f t="shared" si="6"/>
        <v>423</v>
      </c>
      <c r="C426" s="115" t="s">
        <v>594</v>
      </c>
      <c r="D426" s="116">
        <v>41470</v>
      </c>
      <c r="E426" s="113" t="s">
        <v>634</v>
      </c>
      <c r="F426" s="117">
        <v>10</v>
      </c>
      <c r="G426" s="118">
        <v>466.1</v>
      </c>
      <c r="H426" s="115" t="s">
        <v>127</v>
      </c>
    </row>
    <row r="427" spans="1:8" x14ac:dyDescent="0.25">
      <c r="A427" s="114" t="s">
        <v>20</v>
      </c>
      <c r="B427" s="114">
        <f t="shared" si="6"/>
        <v>424</v>
      </c>
      <c r="C427" s="115" t="s">
        <v>595</v>
      </c>
      <c r="D427" s="116">
        <v>41456</v>
      </c>
      <c r="E427" s="113" t="s">
        <v>634</v>
      </c>
      <c r="F427" s="117">
        <v>12</v>
      </c>
      <c r="G427" s="118">
        <v>466.1</v>
      </c>
      <c r="H427" s="115" t="s">
        <v>642</v>
      </c>
    </row>
    <row r="428" spans="1:8" x14ac:dyDescent="0.25">
      <c r="A428" s="114" t="s">
        <v>20</v>
      </c>
      <c r="B428" s="114">
        <f t="shared" si="6"/>
        <v>425</v>
      </c>
      <c r="C428" s="115" t="s">
        <v>596</v>
      </c>
      <c r="D428" s="116">
        <v>41474</v>
      </c>
      <c r="E428" s="113" t="s">
        <v>634</v>
      </c>
      <c r="F428" s="117">
        <v>28</v>
      </c>
      <c r="G428" s="118">
        <v>226492</v>
      </c>
      <c r="H428" s="115" t="s">
        <v>58</v>
      </c>
    </row>
    <row r="429" spans="1:8" x14ac:dyDescent="0.25">
      <c r="A429" s="114" t="s">
        <v>20</v>
      </c>
      <c r="B429" s="114">
        <f t="shared" si="6"/>
        <v>426</v>
      </c>
      <c r="C429" s="115" t="s">
        <v>597</v>
      </c>
      <c r="D429" s="116">
        <v>41486</v>
      </c>
      <c r="E429" s="113" t="s">
        <v>634</v>
      </c>
      <c r="F429" s="117">
        <v>5</v>
      </c>
      <c r="G429" s="118">
        <v>466.1</v>
      </c>
      <c r="H429" s="115" t="s">
        <v>99</v>
      </c>
    </row>
    <row r="430" spans="1:8" x14ac:dyDescent="0.25">
      <c r="A430" s="114" t="s">
        <v>20</v>
      </c>
      <c r="B430" s="114">
        <f t="shared" si="6"/>
        <v>427</v>
      </c>
      <c r="C430" s="115" t="s">
        <v>598</v>
      </c>
      <c r="D430" s="116">
        <v>41466</v>
      </c>
      <c r="E430" s="113" t="s">
        <v>634</v>
      </c>
      <c r="F430" s="117">
        <v>7</v>
      </c>
      <c r="G430" s="118">
        <v>466.1</v>
      </c>
      <c r="H430" s="115" t="s">
        <v>664</v>
      </c>
    </row>
    <row r="431" spans="1:8" x14ac:dyDescent="0.25">
      <c r="A431" s="114" t="s">
        <v>20</v>
      </c>
      <c r="B431" s="114">
        <f t="shared" si="6"/>
        <v>428</v>
      </c>
      <c r="C431" s="115" t="s">
        <v>599</v>
      </c>
      <c r="D431" s="116">
        <v>41480</v>
      </c>
      <c r="E431" s="113" t="s">
        <v>634</v>
      </c>
      <c r="F431" s="117">
        <v>10</v>
      </c>
      <c r="G431" s="118">
        <v>466.1</v>
      </c>
      <c r="H431" s="115" t="s">
        <v>642</v>
      </c>
    </row>
    <row r="432" spans="1:8" x14ac:dyDescent="0.25">
      <c r="A432" s="114" t="s">
        <v>20</v>
      </c>
      <c r="B432" s="114">
        <f t="shared" si="6"/>
        <v>429</v>
      </c>
      <c r="C432" s="115" t="s">
        <v>600</v>
      </c>
      <c r="D432" s="116">
        <v>41466</v>
      </c>
      <c r="E432" s="113" t="s">
        <v>634</v>
      </c>
      <c r="F432" s="117">
        <v>12</v>
      </c>
      <c r="G432" s="118">
        <v>466.1</v>
      </c>
      <c r="H432" s="115" t="s">
        <v>151</v>
      </c>
    </row>
    <row r="433" spans="1:8" x14ac:dyDescent="0.25">
      <c r="A433" s="114" t="s">
        <v>20</v>
      </c>
      <c r="B433" s="114">
        <f t="shared" si="6"/>
        <v>430</v>
      </c>
      <c r="C433" s="115" t="s">
        <v>601</v>
      </c>
      <c r="D433" s="116">
        <v>41473</v>
      </c>
      <c r="E433" s="113" t="s">
        <v>634</v>
      </c>
      <c r="F433" s="117">
        <v>11</v>
      </c>
      <c r="G433" s="118">
        <v>466.1</v>
      </c>
      <c r="H433" s="115" t="s">
        <v>670</v>
      </c>
    </row>
    <row r="434" spans="1:8" x14ac:dyDescent="0.25">
      <c r="A434" s="114" t="s">
        <v>20</v>
      </c>
      <c r="B434" s="114">
        <f t="shared" si="6"/>
        <v>431</v>
      </c>
      <c r="C434" s="115" t="s">
        <v>602</v>
      </c>
      <c r="D434" s="116">
        <v>41456</v>
      </c>
      <c r="E434" s="113" t="s">
        <v>634</v>
      </c>
      <c r="F434" s="117">
        <v>3</v>
      </c>
      <c r="G434" s="118">
        <v>466.1</v>
      </c>
      <c r="H434" s="115" t="s">
        <v>59</v>
      </c>
    </row>
    <row r="435" spans="1:8" x14ac:dyDescent="0.25">
      <c r="A435" s="114" t="s">
        <v>20</v>
      </c>
      <c r="B435" s="114">
        <f t="shared" si="6"/>
        <v>432</v>
      </c>
      <c r="C435" s="115" t="s">
        <v>603</v>
      </c>
      <c r="D435" s="116">
        <v>41473</v>
      </c>
      <c r="E435" s="113" t="s">
        <v>634</v>
      </c>
      <c r="F435" s="117">
        <v>15</v>
      </c>
      <c r="G435" s="118">
        <v>466.1</v>
      </c>
      <c r="H435" s="115" t="s">
        <v>642</v>
      </c>
    </row>
    <row r="436" spans="1:8" x14ac:dyDescent="0.25">
      <c r="A436" s="114" t="s">
        <v>20</v>
      </c>
      <c r="B436" s="114">
        <f t="shared" si="6"/>
        <v>433</v>
      </c>
      <c r="C436" s="115" t="s">
        <v>604</v>
      </c>
      <c r="D436" s="116">
        <v>41481</v>
      </c>
      <c r="E436" s="113" t="s">
        <v>634</v>
      </c>
      <c r="F436" s="117">
        <v>12</v>
      </c>
      <c r="G436" s="118">
        <v>466.1</v>
      </c>
      <c r="H436" s="115" t="s">
        <v>36</v>
      </c>
    </row>
    <row r="437" spans="1:8" x14ac:dyDescent="0.25">
      <c r="A437" s="114" t="s">
        <v>20</v>
      </c>
      <c r="B437" s="114">
        <f t="shared" si="6"/>
        <v>434</v>
      </c>
      <c r="C437" s="115" t="s">
        <v>605</v>
      </c>
      <c r="D437" s="116">
        <v>41474</v>
      </c>
      <c r="E437" s="113" t="s">
        <v>634</v>
      </c>
      <c r="F437" s="117">
        <v>6</v>
      </c>
      <c r="G437" s="118">
        <v>466.1</v>
      </c>
      <c r="H437" s="115" t="s">
        <v>671</v>
      </c>
    </row>
    <row r="438" spans="1:8" x14ac:dyDescent="0.25">
      <c r="A438" s="114" t="s">
        <v>20</v>
      </c>
      <c r="B438" s="114">
        <f t="shared" si="6"/>
        <v>435</v>
      </c>
      <c r="C438" s="115" t="s">
        <v>606</v>
      </c>
      <c r="D438" s="116">
        <v>41474</v>
      </c>
      <c r="E438" s="113" t="s">
        <v>634</v>
      </c>
      <c r="F438" s="117">
        <v>6</v>
      </c>
      <c r="G438" s="118">
        <v>466.1</v>
      </c>
      <c r="H438" s="115" t="s">
        <v>671</v>
      </c>
    </row>
    <row r="439" spans="1:8" x14ac:dyDescent="0.25">
      <c r="A439" s="114" t="s">
        <v>20</v>
      </c>
      <c r="B439" s="114">
        <f t="shared" si="6"/>
        <v>436</v>
      </c>
      <c r="C439" s="115" t="s">
        <v>607</v>
      </c>
      <c r="D439" s="116">
        <v>41473</v>
      </c>
      <c r="E439" s="113" t="s">
        <v>634</v>
      </c>
      <c r="F439" s="117">
        <v>15</v>
      </c>
      <c r="G439" s="118">
        <v>466.1</v>
      </c>
      <c r="H439" s="115" t="s">
        <v>671</v>
      </c>
    </row>
    <row r="440" spans="1:8" x14ac:dyDescent="0.25">
      <c r="A440" s="114" t="s">
        <v>20</v>
      </c>
      <c r="B440" s="114">
        <f t="shared" si="6"/>
        <v>437</v>
      </c>
      <c r="C440" s="115" t="s">
        <v>608</v>
      </c>
      <c r="D440" s="116">
        <v>41477</v>
      </c>
      <c r="E440" s="113" t="s">
        <v>634</v>
      </c>
      <c r="F440" s="117">
        <v>15</v>
      </c>
      <c r="G440" s="118">
        <v>466.1</v>
      </c>
      <c r="H440" s="115" t="s">
        <v>81</v>
      </c>
    </row>
    <row r="441" spans="1:8" x14ac:dyDescent="0.25">
      <c r="A441" s="114" t="s">
        <v>20</v>
      </c>
      <c r="B441" s="114">
        <f t="shared" si="6"/>
        <v>438</v>
      </c>
      <c r="C441" s="115" t="s">
        <v>609</v>
      </c>
      <c r="D441" s="116">
        <v>41479</v>
      </c>
      <c r="E441" s="113" t="s">
        <v>634</v>
      </c>
      <c r="F441" s="117">
        <v>5</v>
      </c>
      <c r="G441" s="118">
        <v>466.1</v>
      </c>
      <c r="H441" s="115" t="s">
        <v>80</v>
      </c>
    </row>
    <row r="442" spans="1:8" x14ac:dyDescent="0.25">
      <c r="A442" s="114" t="s">
        <v>20</v>
      </c>
      <c r="B442" s="114">
        <f t="shared" si="6"/>
        <v>439</v>
      </c>
      <c r="C442" s="115" t="s">
        <v>610</v>
      </c>
      <c r="D442" s="116">
        <v>41458</v>
      </c>
      <c r="E442" s="113" t="s">
        <v>634</v>
      </c>
      <c r="F442" s="117">
        <v>15</v>
      </c>
      <c r="G442" s="118">
        <v>466.1</v>
      </c>
      <c r="H442" s="115" t="s">
        <v>664</v>
      </c>
    </row>
    <row r="443" spans="1:8" x14ac:dyDescent="0.25">
      <c r="A443" s="114" t="s">
        <v>20</v>
      </c>
      <c r="B443" s="114">
        <f t="shared" si="6"/>
        <v>440</v>
      </c>
      <c r="C443" s="115" t="s">
        <v>611</v>
      </c>
      <c r="D443" s="116">
        <v>41479</v>
      </c>
      <c r="E443" s="113" t="s">
        <v>634</v>
      </c>
      <c r="F443" s="117">
        <v>7.5</v>
      </c>
      <c r="G443" s="118">
        <v>466.1</v>
      </c>
      <c r="H443" s="115" t="s">
        <v>672</v>
      </c>
    </row>
    <row r="444" spans="1:8" x14ac:dyDescent="0.25">
      <c r="A444" s="114" t="s">
        <v>20</v>
      </c>
      <c r="B444" s="114">
        <f t="shared" si="6"/>
        <v>441</v>
      </c>
      <c r="C444" s="115" t="s">
        <v>612</v>
      </c>
      <c r="D444" s="116">
        <v>41479</v>
      </c>
      <c r="E444" s="113" t="s">
        <v>634</v>
      </c>
      <c r="F444" s="117">
        <v>15</v>
      </c>
      <c r="G444" s="118">
        <v>466.1</v>
      </c>
      <c r="H444" s="115" t="s">
        <v>81</v>
      </c>
    </row>
    <row r="445" spans="1:8" x14ac:dyDescent="0.25">
      <c r="A445" s="114" t="s">
        <v>20</v>
      </c>
      <c r="B445" s="114">
        <f t="shared" si="6"/>
        <v>442</v>
      </c>
      <c r="C445" s="115" t="s">
        <v>613</v>
      </c>
      <c r="D445" s="116">
        <v>41479</v>
      </c>
      <c r="E445" s="113" t="s">
        <v>634</v>
      </c>
      <c r="F445" s="117">
        <v>15</v>
      </c>
      <c r="G445" s="118">
        <v>466.1</v>
      </c>
      <c r="H445" s="115" t="s">
        <v>81</v>
      </c>
    </row>
    <row r="446" spans="1:8" x14ac:dyDescent="0.25">
      <c r="A446" s="114" t="s">
        <v>20</v>
      </c>
      <c r="B446" s="114">
        <f t="shared" si="6"/>
        <v>443</v>
      </c>
      <c r="C446" s="115" t="s">
        <v>614</v>
      </c>
      <c r="D446" s="116">
        <v>41484</v>
      </c>
      <c r="E446" s="113" t="s">
        <v>634</v>
      </c>
      <c r="F446" s="117">
        <v>15</v>
      </c>
      <c r="G446" s="118">
        <v>466.1</v>
      </c>
      <c r="H446" s="115" t="s">
        <v>81</v>
      </c>
    </row>
    <row r="447" spans="1:8" x14ac:dyDescent="0.25">
      <c r="A447" s="114" t="s">
        <v>20</v>
      </c>
      <c r="B447" s="114">
        <f t="shared" si="6"/>
        <v>444</v>
      </c>
      <c r="C447" s="115" t="s">
        <v>615</v>
      </c>
      <c r="D447" s="116">
        <v>41479</v>
      </c>
      <c r="E447" s="113" t="s">
        <v>634</v>
      </c>
      <c r="F447" s="117">
        <v>10</v>
      </c>
      <c r="G447" s="118">
        <v>466.1</v>
      </c>
      <c r="H447" s="115" t="s">
        <v>81</v>
      </c>
    </row>
    <row r="448" spans="1:8" x14ac:dyDescent="0.25">
      <c r="A448" s="114" t="s">
        <v>20</v>
      </c>
      <c r="B448" s="114">
        <f t="shared" si="6"/>
        <v>445</v>
      </c>
      <c r="C448" s="115" t="s">
        <v>616</v>
      </c>
      <c r="D448" s="116">
        <v>41480</v>
      </c>
      <c r="E448" s="113" t="s">
        <v>634</v>
      </c>
      <c r="F448" s="117">
        <v>12</v>
      </c>
      <c r="G448" s="118">
        <v>466.1</v>
      </c>
      <c r="H448" s="115" t="s">
        <v>663</v>
      </c>
    </row>
    <row r="449" spans="1:8" x14ac:dyDescent="0.25">
      <c r="A449" s="114" t="s">
        <v>20</v>
      </c>
      <c r="B449" s="114">
        <f t="shared" si="6"/>
        <v>446</v>
      </c>
      <c r="C449" s="115" t="s">
        <v>617</v>
      </c>
      <c r="D449" s="116">
        <v>41485</v>
      </c>
      <c r="E449" s="113" t="s">
        <v>634</v>
      </c>
      <c r="F449" s="117">
        <v>12</v>
      </c>
      <c r="G449" s="118">
        <v>466.1</v>
      </c>
      <c r="H449" s="115" t="s">
        <v>673</v>
      </c>
    </row>
    <row r="450" spans="1:8" x14ac:dyDescent="0.25">
      <c r="A450" s="114" t="s">
        <v>20</v>
      </c>
      <c r="B450" s="114">
        <f t="shared" si="6"/>
        <v>447</v>
      </c>
      <c r="C450" s="115" t="s">
        <v>618</v>
      </c>
      <c r="D450" s="116">
        <v>41479</v>
      </c>
      <c r="E450" s="113" t="s">
        <v>634</v>
      </c>
      <c r="F450" s="117">
        <v>15</v>
      </c>
      <c r="G450" s="118">
        <v>466.1</v>
      </c>
      <c r="H450" s="115" t="s">
        <v>59</v>
      </c>
    </row>
    <row r="451" spans="1:8" x14ac:dyDescent="0.25">
      <c r="A451" s="114" t="s">
        <v>20</v>
      </c>
      <c r="B451" s="114">
        <f t="shared" si="6"/>
        <v>448</v>
      </c>
      <c r="C451" s="115" t="s">
        <v>619</v>
      </c>
      <c r="D451" s="116">
        <v>41486</v>
      </c>
      <c r="E451" s="113" t="s">
        <v>634</v>
      </c>
      <c r="F451" s="117">
        <v>5</v>
      </c>
      <c r="G451" s="118">
        <v>466.1</v>
      </c>
      <c r="H451" s="115" t="s">
        <v>57</v>
      </c>
    </row>
    <row r="452" spans="1:8" x14ac:dyDescent="0.25">
      <c r="A452" s="114" t="s">
        <v>20</v>
      </c>
      <c r="B452" s="114">
        <f t="shared" si="6"/>
        <v>449</v>
      </c>
      <c r="C452" s="115" t="s">
        <v>620</v>
      </c>
      <c r="D452" s="116">
        <v>41480</v>
      </c>
      <c r="E452" s="113" t="s">
        <v>634</v>
      </c>
      <c r="F452" s="117">
        <v>12</v>
      </c>
      <c r="G452" s="118">
        <v>466.1</v>
      </c>
      <c r="H452" s="115" t="s">
        <v>59</v>
      </c>
    </row>
    <row r="453" spans="1:8" x14ac:dyDescent="0.25">
      <c r="A453" s="114" t="s">
        <v>20</v>
      </c>
      <c r="B453" s="114">
        <f t="shared" si="6"/>
        <v>450</v>
      </c>
      <c r="C453" s="115" t="s">
        <v>621</v>
      </c>
      <c r="D453" s="116">
        <v>41480</v>
      </c>
      <c r="E453" s="113" t="s">
        <v>634</v>
      </c>
      <c r="F453" s="117">
        <v>15</v>
      </c>
      <c r="G453" s="118">
        <v>466.1</v>
      </c>
      <c r="H453" s="115" t="s">
        <v>36</v>
      </c>
    </row>
    <row r="454" spans="1:8" x14ac:dyDescent="0.25">
      <c r="A454" s="114" t="s">
        <v>20</v>
      </c>
      <c r="B454" s="114">
        <f t="shared" ref="B454:B467" si="7">B453+1</f>
        <v>451</v>
      </c>
      <c r="C454" s="115" t="s">
        <v>622</v>
      </c>
      <c r="D454" s="116">
        <v>41471</v>
      </c>
      <c r="E454" s="113" t="s">
        <v>634</v>
      </c>
      <c r="F454" s="117">
        <v>15</v>
      </c>
      <c r="G454" s="118">
        <v>466.1</v>
      </c>
      <c r="H454" s="115" t="s">
        <v>664</v>
      </c>
    </row>
    <row r="455" spans="1:8" x14ac:dyDescent="0.25">
      <c r="A455" s="114" t="s">
        <v>20</v>
      </c>
      <c r="B455" s="114">
        <f t="shared" si="7"/>
        <v>452</v>
      </c>
      <c r="C455" s="115" t="s">
        <v>623</v>
      </c>
      <c r="D455" s="116">
        <v>41486</v>
      </c>
      <c r="E455" s="113" t="s">
        <v>634</v>
      </c>
      <c r="F455" s="117">
        <v>15</v>
      </c>
      <c r="G455" s="118">
        <v>466.1</v>
      </c>
      <c r="H455" s="115" t="s">
        <v>674</v>
      </c>
    </row>
    <row r="456" spans="1:8" x14ac:dyDescent="0.25">
      <c r="A456" s="114" t="s">
        <v>20</v>
      </c>
      <c r="B456" s="114">
        <f t="shared" si="7"/>
        <v>453</v>
      </c>
      <c r="C456" s="115" t="s">
        <v>624</v>
      </c>
      <c r="D456" s="116">
        <v>41486</v>
      </c>
      <c r="E456" s="113" t="s">
        <v>634</v>
      </c>
      <c r="F456" s="117">
        <v>15</v>
      </c>
      <c r="G456" s="118">
        <v>466.1</v>
      </c>
      <c r="H456" s="115" t="s">
        <v>674</v>
      </c>
    </row>
    <row r="457" spans="1:8" x14ac:dyDescent="0.25">
      <c r="A457" s="114" t="s">
        <v>20</v>
      </c>
      <c r="B457" s="114">
        <f t="shared" si="7"/>
        <v>454</v>
      </c>
      <c r="C457" s="115" t="s">
        <v>625</v>
      </c>
      <c r="D457" s="116">
        <v>41484</v>
      </c>
      <c r="E457" s="113" t="s">
        <v>634</v>
      </c>
      <c r="F457" s="117">
        <v>5</v>
      </c>
      <c r="G457" s="118">
        <v>466.1</v>
      </c>
      <c r="H457" s="115" t="s">
        <v>642</v>
      </c>
    </row>
    <row r="458" spans="1:8" x14ac:dyDescent="0.25">
      <c r="A458" s="114" t="s">
        <v>20</v>
      </c>
      <c r="B458" s="114">
        <f t="shared" si="7"/>
        <v>455</v>
      </c>
      <c r="C458" s="115" t="s">
        <v>626</v>
      </c>
      <c r="D458" s="116">
        <v>41477</v>
      </c>
      <c r="E458" s="113" t="s">
        <v>635</v>
      </c>
      <c r="F458" s="117">
        <v>640</v>
      </c>
      <c r="G458" s="118">
        <v>37760</v>
      </c>
      <c r="H458" s="115" t="s">
        <v>642</v>
      </c>
    </row>
    <row r="459" spans="1:8" x14ac:dyDescent="0.25">
      <c r="A459" s="114" t="s">
        <v>20</v>
      </c>
      <c r="B459" s="114">
        <f t="shared" si="7"/>
        <v>456</v>
      </c>
      <c r="C459" s="115" t="s">
        <v>627</v>
      </c>
      <c r="D459" s="116">
        <v>41479</v>
      </c>
      <c r="E459" s="113" t="s">
        <v>634</v>
      </c>
      <c r="F459" s="117">
        <v>12</v>
      </c>
      <c r="G459" s="118">
        <v>466.1</v>
      </c>
      <c r="H459" s="115" t="s">
        <v>59</v>
      </c>
    </row>
    <row r="460" spans="1:8" x14ac:dyDescent="0.25">
      <c r="A460" s="114" t="s">
        <v>20</v>
      </c>
      <c r="B460" s="114">
        <f t="shared" si="7"/>
        <v>457</v>
      </c>
      <c r="C460" s="115" t="s">
        <v>628</v>
      </c>
      <c r="D460" s="116">
        <v>41473</v>
      </c>
      <c r="E460" s="113" t="s">
        <v>634</v>
      </c>
      <c r="F460" s="117">
        <v>7</v>
      </c>
      <c r="G460" s="118">
        <v>466.1</v>
      </c>
      <c r="H460" s="115" t="s">
        <v>673</v>
      </c>
    </row>
    <row r="461" spans="1:8" x14ac:dyDescent="0.25">
      <c r="A461" s="114" t="s">
        <v>20</v>
      </c>
      <c r="B461" s="114">
        <f t="shared" si="7"/>
        <v>458</v>
      </c>
      <c r="C461" s="115" t="s">
        <v>629</v>
      </c>
      <c r="D461" s="116">
        <v>41485</v>
      </c>
      <c r="E461" s="113" t="s">
        <v>634</v>
      </c>
      <c r="F461" s="117">
        <v>15</v>
      </c>
      <c r="G461" s="118">
        <v>466.1</v>
      </c>
      <c r="H461" s="115" t="s">
        <v>675</v>
      </c>
    </row>
    <row r="462" spans="1:8" x14ac:dyDescent="0.25">
      <c r="A462" s="114" t="s">
        <v>20</v>
      </c>
      <c r="B462" s="114">
        <f t="shared" si="7"/>
        <v>459</v>
      </c>
      <c r="C462" s="115" t="s">
        <v>630</v>
      </c>
      <c r="D462" s="116">
        <v>41474</v>
      </c>
      <c r="E462" s="113" t="s">
        <v>634</v>
      </c>
      <c r="F462" s="117">
        <v>12</v>
      </c>
      <c r="G462" s="118">
        <v>466.1</v>
      </c>
      <c r="H462" s="115" t="s">
        <v>81</v>
      </c>
    </row>
    <row r="463" spans="1:8" x14ac:dyDescent="0.25">
      <c r="A463" s="114" t="s">
        <v>20</v>
      </c>
      <c r="B463" s="114">
        <f t="shared" si="7"/>
        <v>460</v>
      </c>
      <c r="C463" s="115" t="s">
        <v>631</v>
      </c>
      <c r="D463" s="116">
        <v>41478</v>
      </c>
      <c r="E463" s="113" t="s">
        <v>634</v>
      </c>
      <c r="F463" s="117">
        <v>15</v>
      </c>
      <c r="G463" s="118">
        <v>466.1</v>
      </c>
      <c r="H463" s="115" t="s">
        <v>670</v>
      </c>
    </row>
    <row r="464" spans="1:8" x14ac:dyDescent="0.25">
      <c r="A464" s="114" t="s">
        <v>20</v>
      </c>
      <c r="B464" s="114">
        <f t="shared" si="7"/>
        <v>461</v>
      </c>
      <c r="C464" s="115" t="s">
        <v>632</v>
      </c>
      <c r="D464" s="116">
        <v>41486</v>
      </c>
      <c r="E464" s="113" t="s">
        <v>634</v>
      </c>
      <c r="F464" s="117">
        <v>12</v>
      </c>
      <c r="G464" s="118">
        <v>466.1</v>
      </c>
      <c r="H464" s="115" t="s">
        <v>672</v>
      </c>
    </row>
    <row r="465" spans="1:8" x14ac:dyDescent="0.25">
      <c r="A465" s="114" t="s">
        <v>20</v>
      </c>
      <c r="B465" s="114">
        <f t="shared" si="7"/>
        <v>462</v>
      </c>
      <c r="C465" s="115">
        <v>40766868</v>
      </c>
      <c r="D465" s="116">
        <v>41485</v>
      </c>
      <c r="E465" s="113" t="s">
        <v>634</v>
      </c>
      <c r="F465" s="117">
        <v>50</v>
      </c>
      <c r="G465" s="118">
        <v>4661.0200000000004</v>
      </c>
      <c r="H465" s="115" t="s">
        <v>91</v>
      </c>
    </row>
    <row r="466" spans="1:8" x14ac:dyDescent="0.25">
      <c r="A466" s="114" t="s">
        <v>20</v>
      </c>
      <c r="B466" s="114">
        <f t="shared" si="7"/>
        <v>463</v>
      </c>
      <c r="C466" s="115" t="s">
        <v>678</v>
      </c>
      <c r="D466" s="116">
        <v>41486</v>
      </c>
      <c r="E466" s="113" t="s">
        <v>634</v>
      </c>
      <c r="F466" s="117">
        <v>74</v>
      </c>
      <c r="G466" s="118">
        <v>15318</v>
      </c>
      <c r="H466" s="115" t="s">
        <v>649</v>
      </c>
    </row>
    <row r="467" spans="1:8" x14ac:dyDescent="0.25">
      <c r="A467" s="114" t="s">
        <v>20</v>
      </c>
      <c r="B467" s="114">
        <f t="shared" si="7"/>
        <v>464</v>
      </c>
      <c r="C467" s="115" t="s">
        <v>633</v>
      </c>
      <c r="D467" s="116">
        <v>41485</v>
      </c>
      <c r="E467" s="113" t="s">
        <v>634</v>
      </c>
      <c r="F467" s="117">
        <v>140</v>
      </c>
      <c r="G467" s="118">
        <v>28980</v>
      </c>
      <c r="H467" s="115" t="s">
        <v>673</v>
      </c>
    </row>
    <row r="468" spans="1:8" ht="21" thickBot="1" x14ac:dyDescent="0.3">
      <c r="B468" s="112">
        <f>B467</f>
        <v>464</v>
      </c>
      <c r="F468" s="111">
        <f>SUM(F4:F467)</f>
        <v>9986.2999999999975</v>
      </c>
      <c r="G468" s="102">
        <f>SUM(G4:G467)</f>
        <v>31604625.970000617</v>
      </c>
    </row>
    <row r="469" spans="1:8" x14ac:dyDescent="0.25">
      <c r="G469" s="102"/>
    </row>
    <row r="470" spans="1:8" x14ac:dyDescent="0.25">
      <c r="C470" s="110"/>
      <c r="D470" s="108"/>
      <c r="G470" s="102"/>
    </row>
    <row r="471" spans="1:8" x14ac:dyDescent="0.25">
      <c r="C471" s="110"/>
      <c r="D471" s="108"/>
      <c r="G471" s="102"/>
    </row>
    <row r="472" spans="1:8" x14ac:dyDescent="0.25">
      <c r="C472" s="110"/>
      <c r="G472" s="102"/>
    </row>
    <row r="473" spans="1:8" x14ac:dyDescent="0.25">
      <c r="C473" s="110"/>
      <c r="G473" s="102"/>
    </row>
    <row r="474" spans="1:8" x14ac:dyDescent="0.25">
      <c r="C474" s="110"/>
      <c r="G474" s="102"/>
    </row>
    <row r="475" spans="1:8" x14ac:dyDescent="0.25">
      <c r="C475" s="110"/>
      <c r="G475" s="102"/>
    </row>
    <row r="476" spans="1:8" x14ac:dyDescent="0.25">
      <c r="C476" s="110"/>
      <c r="G476" s="102"/>
    </row>
    <row r="477" spans="1:8" x14ac:dyDescent="0.25">
      <c r="C477" s="110"/>
      <c r="G477" s="102"/>
    </row>
    <row r="478" spans="1:8" x14ac:dyDescent="0.25">
      <c r="C478" s="110"/>
      <c r="G478" s="102"/>
    </row>
    <row r="479" spans="1:8" x14ac:dyDescent="0.25">
      <c r="C479" s="110"/>
      <c r="G479" s="102"/>
    </row>
    <row r="480" spans="1:8" x14ac:dyDescent="0.25">
      <c r="C480" s="110"/>
      <c r="G480" s="102"/>
    </row>
    <row r="481" spans="3:7" x14ac:dyDescent="0.25">
      <c r="C481" s="110"/>
      <c r="G481" s="102"/>
    </row>
    <row r="482" spans="3:7" x14ac:dyDescent="0.25">
      <c r="C482" s="110"/>
      <c r="G482" s="102"/>
    </row>
    <row r="483" spans="3:7" x14ac:dyDescent="0.25">
      <c r="C483" s="110"/>
      <c r="G483" s="102"/>
    </row>
    <row r="484" spans="3:7" x14ac:dyDescent="0.25">
      <c r="C484" s="110"/>
      <c r="G484" s="102"/>
    </row>
    <row r="485" spans="3:7" x14ac:dyDescent="0.25">
      <c r="C485" s="110"/>
      <c r="G485" s="102"/>
    </row>
    <row r="486" spans="3:7" x14ac:dyDescent="0.25">
      <c r="C486" s="110"/>
      <c r="G486" s="102"/>
    </row>
    <row r="487" spans="3:7" x14ac:dyDescent="0.25">
      <c r="C487" s="110"/>
      <c r="G487" s="102"/>
    </row>
    <row r="488" spans="3:7" x14ac:dyDescent="0.25">
      <c r="C488" s="110"/>
      <c r="G488" s="102"/>
    </row>
    <row r="489" spans="3:7" x14ac:dyDescent="0.25">
      <c r="C489" s="110"/>
      <c r="G489" s="102"/>
    </row>
    <row r="490" spans="3:7" x14ac:dyDescent="0.25">
      <c r="C490" s="110"/>
      <c r="G490" s="102"/>
    </row>
    <row r="491" spans="3:7" x14ac:dyDescent="0.25">
      <c r="C491" s="110"/>
      <c r="G491" s="102"/>
    </row>
    <row r="492" spans="3:7" x14ac:dyDescent="0.25">
      <c r="C492" s="110"/>
      <c r="G492" s="102"/>
    </row>
    <row r="493" spans="3:7" x14ac:dyDescent="0.25">
      <c r="C493" s="110"/>
      <c r="G493" s="102"/>
    </row>
    <row r="494" spans="3:7" x14ac:dyDescent="0.25">
      <c r="C494" s="110"/>
      <c r="G494" s="102"/>
    </row>
    <row r="495" spans="3:7" x14ac:dyDescent="0.25">
      <c r="C495" s="110"/>
      <c r="G495" s="102"/>
    </row>
    <row r="496" spans="3:7" x14ac:dyDescent="0.25">
      <c r="C496" s="110"/>
      <c r="G496" s="102"/>
    </row>
    <row r="497" spans="3:7" x14ac:dyDescent="0.25">
      <c r="C497" s="110"/>
      <c r="G497" s="102"/>
    </row>
    <row r="498" spans="3:7" x14ac:dyDescent="0.25">
      <c r="C498" s="110"/>
      <c r="G498" s="102"/>
    </row>
    <row r="499" spans="3:7" x14ac:dyDescent="0.25">
      <c r="C499" s="110"/>
      <c r="G499" s="102"/>
    </row>
    <row r="500" spans="3:7" x14ac:dyDescent="0.25">
      <c r="C500" s="110"/>
      <c r="G500" s="102"/>
    </row>
    <row r="501" spans="3:7" x14ac:dyDescent="0.25">
      <c r="C501" s="110"/>
      <c r="G501" s="102"/>
    </row>
    <row r="502" spans="3:7" x14ac:dyDescent="0.25">
      <c r="C502" s="110"/>
      <c r="G502" s="102"/>
    </row>
    <row r="503" spans="3:7" x14ac:dyDescent="0.25">
      <c r="C503" s="110"/>
      <c r="G503" s="102"/>
    </row>
    <row r="504" spans="3:7" x14ac:dyDescent="0.25">
      <c r="C504" s="110"/>
      <c r="G504" s="102"/>
    </row>
    <row r="505" spans="3:7" x14ac:dyDescent="0.25">
      <c r="C505" s="110"/>
      <c r="G505" s="102"/>
    </row>
    <row r="506" spans="3:7" x14ac:dyDescent="0.25">
      <c r="C506" s="110"/>
      <c r="G506" s="102"/>
    </row>
    <row r="507" spans="3:7" x14ac:dyDescent="0.25">
      <c r="C507" s="110"/>
      <c r="G507" s="102"/>
    </row>
    <row r="508" spans="3:7" x14ac:dyDescent="0.25">
      <c r="C508" s="110"/>
      <c r="G508" s="102"/>
    </row>
    <row r="509" spans="3:7" x14ac:dyDescent="0.25">
      <c r="C509" s="110"/>
      <c r="G509" s="102"/>
    </row>
    <row r="510" spans="3:7" x14ac:dyDescent="0.25">
      <c r="C510" s="110"/>
      <c r="G510" s="102"/>
    </row>
    <row r="511" spans="3:7" x14ac:dyDescent="0.25">
      <c r="C511" s="110"/>
      <c r="G511" s="102"/>
    </row>
    <row r="512" spans="3:7" x14ac:dyDescent="0.25">
      <c r="C512" s="110"/>
      <c r="G512" s="102"/>
    </row>
    <row r="513" spans="3:3" x14ac:dyDescent="0.25">
      <c r="C513" s="110"/>
    </row>
    <row r="514" spans="3:3" x14ac:dyDescent="0.25">
      <c r="C514" s="110"/>
    </row>
    <row r="515" spans="3:3" x14ac:dyDescent="0.25">
      <c r="C515" s="110"/>
    </row>
    <row r="516" spans="3:3" x14ac:dyDescent="0.25">
      <c r="C516" s="110"/>
    </row>
    <row r="517" spans="3:3" x14ac:dyDescent="0.25">
      <c r="C517" s="110"/>
    </row>
    <row r="518" spans="3:3" x14ac:dyDescent="0.25">
      <c r="C518" s="110"/>
    </row>
    <row r="519" spans="3:3" x14ac:dyDescent="0.25">
      <c r="C519" s="110"/>
    </row>
    <row r="520" spans="3:3" x14ac:dyDescent="0.25">
      <c r="C520" s="110"/>
    </row>
    <row r="521" spans="3:3" x14ac:dyDescent="0.25">
      <c r="C521" s="110"/>
    </row>
    <row r="522" spans="3:3" x14ac:dyDescent="0.25">
      <c r="C522" s="110"/>
    </row>
    <row r="523" spans="3:3" x14ac:dyDescent="0.25">
      <c r="C523" s="110"/>
    </row>
    <row r="524" spans="3:3" x14ac:dyDescent="0.25">
      <c r="C524" s="110"/>
    </row>
    <row r="525" spans="3:3" x14ac:dyDescent="0.25">
      <c r="C525" s="110"/>
    </row>
    <row r="526" spans="3:3" x14ac:dyDescent="0.25">
      <c r="C526" s="110"/>
    </row>
    <row r="527" spans="3:3" x14ac:dyDescent="0.25">
      <c r="C527" s="110"/>
    </row>
    <row r="528" spans="3:3" x14ac:dyDescent="0.25">
      <c r="C528" s="110"/>
    </row>
    <row r="529" spans="3:3" x14ac:dyDescent="0.25">
      <c r="C529" s="110"/>
    </row>
    <row r="530" spans="3:3" x14ac:dyDescent="0.25">
      <c r="C530" s="110"/>
    </row>
    <row r="531" spans="3:3" x14ac:dyDescent="0.25">
      <c r="C531" s="110"/>
    </row>
    <row r="532" spans="3:3" x14ac:dyDescent="0.25">
      <c r="C532" s="110"/>
    </row>
    <row r="533" spans="3:3" x14ac:dyDescent="0.25">
      <c r="C533" s="110"/>
    </row>
    <row r="534" spans="3:3" x14ac:dyDescent="0.25">
      <c r="C534" s="110"/>
    </row>
    <row r="535" spans="3:3" x14ac:dyDescent="0.25">
      <c r="C535" s="110"/>
    </row>
    <row r="536" spans="3:3" x14ac:dyDescent="0.25">
      <c r="C536" s="110"/>
    </row>
    <row r="537" spans="3:3" x14ac:dyDescent="0.25">
      <c r="C537" s="110"/>
    </row>
    <row r="538" spans="3:3" x14ac:dyDescent="0.25">
      <c r="C538" s="110"/>
    </row>
    <row r="539" spans="3:3" x14ac:dyDescent="0.25">
      <c r="C539" s="110"/>
    </row>
    <row r="540" spans="3:3" x14ac:dyDescent="0.25">
      <c r="C540" s="110"/>
    </row>
    <row r="541" spans="3:3" x14ac:dyDescent="0.25">
      <c r="C541" s="110"/>
    </row>
    <row r="542" spans="3:3" x14ac:dyDescent="0.25">
      <c r="C542" s="110"/>
    </row>
    <row r="543" spans="3:3" x14ac:dyDescent="0.25">
      <c r="C543" s="110"/>
    </row>
    <row r="544" spans="3:3" x14ac:dyDescent="0.25">
      <c r="C544" s="110"/>
    </row>
    <row r="545" spans="3:3" x14ac:dyDescent="0.25">
      <c r="C545" s="110"/>
    </row>
    <row r="546" spans="3:3" x14ac:dyDescent="0.25">
      <c r="C546" s="110"/>
    </row>
    <row r="547" spans="3:3" x14ac:dyDescent="0.25">
      <c r="C547" s="110"/>
    </row>
    <row r="548" spans="3:3" x14ac:dyDescent="0.25">
      <c r="C548" s="110"/>
    </row>
    <row r="549" spans="3:3" x14ac:dyDescent="0.25">
      <c r="C549" s="110"/>
    </row>
    <row r="550" spans="3:3" x14ac:dyDescent="0.25">
      <c r="C550" s="110"/>
    </row>
    <row r="551" spans="3:3" x14ac:dyDescent="0.25">
      <c r="C551" s="110"/>
    </row>
    <row r="552" spans="3:3" x14ac:dyDescent="0.25">
      <c r="C552" s="110"/>
    </row>
    <row r="553" spans="3:3" x14ac:dyDescent="0.25">
      <c r="C553" s="110"/>
    </row>
    <row r="554" spans="3:3" x14ac:dyDescent="0.25">
      <c r="C554" s="110"/>
    </row>
    <row r="555" spans="3:3" x14ac:dyDescent="0.25">
      <c r="C555" s="110"/>
    </row>
    <row r="556" spans="3:3" x14ac:dyDescent="0.25">
      <c r="C556" s="110"/>
    </row>
    <row r="557" spans="3:3" x14ac:dyDescent="0.25">
      <c r="C557" s="110"/>
    </row>
    <row r="558" spans="3:3" x14ac:dyDescent="0.25">
      <c r="C558" s="110"/>
    </row>
    <row r="559" spans="3:3" x14ac:dyDescent="0.25">
      <c r="C559" s="110"/>
    </row>
    <row r="560" spans="3:3" x14ac:dyDescent="0.25">
      <c r="C560" s="110"/>
    </row>
    <row r="561" spans="3:3" x14ac:dyDescent="0.25">
      <c r="C561" s="110"/>
    </row>
    <row r="562" spans="3:3" x14ac:dyDescent="0.25">
      <c r="C562" s="110"/>
    </row>
    <row r="563" spans="3:3" x14ac:dyDescent="0.25">
      <c r="C563" s="110"/>
    </row>
    <row r="564" spans="3:3" x14ac:dyDescent="0.25">
      <c r="C564" s="110"/>
    </row>
    <row r="565" spans="3:3" x14ac:dyDescent="0.25">
      <c r="C565" s="110"/>
    </row>
    <row r="566" spans="3:3" x14ac:dyDescent="0.25">
      <c r="C566" s="110"/>
    </row>
    <row r="567" spans="3:3" x14ac:dyDescent="0.25">
      <c r="C567" s="110"/>
    </row>
    <row r="568" spans="3:3" x14ac:dyDescent="0.25">
      <c r="C568" s="110"/>
    </row>
    <row r="569" spans="3:3" x14ac:dyDescent="0.25">
      <c r="C569" s="110"/>
    </row>
    <row r="570" spans="3:3" x14ac:dyDescent="0.25">
      <c r="C570" s="110"/>
    </row>
    <row r="571" spans="3:3" x14ac:dyDescent="0.25">
      <c r="C571" s="110"/>
    </row>
    <row r="572" spans="3:3" x14ac:dyDescent="0.25">
      <c r="C572" s="110"/>
    </row>
    <row r="573" spans="3:3" x14ac:dyDescent="0.25">
      <c r="C573" s="110"/>
    </row>
    <row r="574" spans="3:3" x14ac:dyDescent="0.25">
      <c r="C574" s="110"/>
    </row>
    <row r="575" spans="3:3" x14ac:dyDescent="0.25">
      <c r="C575" s="110"/>
    </row>
    <row r="576" spans="3:3" x14ac:dyDescent="0.25">
      <c r="C576" s="110"/>
    </row>
    <row r="577" spans="3:3" x14ac:dyDescent="0.25">
      <c r="C577" s="110"/>
    </row>
    <row r="578" spans="3:3" x14ac:dyDescent="0.25">
      <c r="C578" s="110"/>
    </row>
    <row r="579" spans="3:3" x14ac:dyDescent="0.25">
      <c r="C579" s="110"/>
    </row>
    <row r="580" spans="3:3" x14ac:dyDescent="0.25">
      <c r="C580" s="110"/>
    </row>
    <row r="581" spans="3:3" x14ac:dyDescent="0.25">
      <c r="C581" s="110"/>
    </row>
    <row r="582" spans="3:3" x14ac:dyDescent="0.25">
      <c r="C582" s="110"/>
    </row>
    <row r="583" spans="3:3" x14ac:dyDescent="0.25">
      <c r="C583" s="110"/>
    </row>
    <row r="584" spans="3:3" x14ac:dyDescent="0.25">
      <c r="C584" s="110"/>
    </row>
    <row r="585" spans="3:3" x14ac:dyDescent="0.25">
      <c r="C585" s="110"/>
    </row>
    <row r="586" spans="3:3" x14ac:dyDescent="0.25">
      <c r="C586" s="110"/>
    </row>
    <row r="587" spans="3:3" x14ac:dyDescent="0.25">
      <c r="C587" s="110"/>
    </row>
    <row r="588" spans="3:3" x14ac:dyDescent="0.25">
      <c r="C588" s="110"/>
    </row>
    <row r="589" spans="3:3" x14ac:dyDescent="0.25">
      <c r="C589" s="110"/>
    </row>
    <row r="590" spans="3:3" x14ac:dyDescent="0.25">
      <c r="C590" s="110"/>
    </row>
    <row r="591" spans="3:3" x14ac:dyDescent="0.25">
      <c r="C591" s="110"/>
    </row>
    <row r="592" spans="3:3" x14ac:dyDescent="0.25">
      <c r="C592" s="110"/>
    </row>
    <row r="593" spans="3:3" x14ac:dyDescent="0.25">
      <c r="C593" s="110"/>
    </row>
    <row r="594" spans="3:3" x14ac:dyDescent="0.25">
      <c r="C594" s="110"/>
    </row>
    <row r="595" spans="3:3" x14ac:dyDescent="0.25">
      <c r="C595" s="110"/>
    </row>
    <row r="596" spans="3:3" x14ac:dyDescent="0.25">
      <c r="C596" s="110"/>
    </row>
    <row r="597" spans="3:3" x14ac:dyDescent="0.25">
      <c r="C597" s="110"/>
    </row>
    <row r="598" spans="3:3" x14ac:dyDescent="0.25">
      <c r="C598" s="110"/>
    </row>
    <row r="599" spans="3:3" x14ac:dyDescent="0.25">
      <c r="C599" s="110"/>
    </row>
    <row r="600" spans="3:3" x14ac:dyDescent="0.25">
      <c r="C600" s="110"/>
    </row>
    <row r="601" spans="3:3" x14ac:dyDescent="0.25">
      <c r="C601" s="110"/>
    </row>
    <row r="602" spans="3:3" x14ac:dyDescent="0.25">
      <c r="C602" s="110"/>
    </row>
    <row r="603" spans="3:3" x14ac:dyDescent="0.25">
      <c r="C603" s="110"/>
    </row>
    <row r="604" spans="3:3" x14ac:dyDescent="0.25">
      <c r="C604" s="110"/>
    </row>
    <row r="605" spans="3:3" x14ac:dyDescent="0.25">
      <c r="C605" s="110"/>
    </row>
    <row r="606" spans="3:3" x14ac:dyDescent="0.25">
      <c r="C606" s="110"/>
    </row>
    <row r="607" spans="3:3" x14ac:dyDescent="0.25">
      <c r="C607" s="110"/>
    </row>
    <row r="608" spans="3:3" x14ac:dyDescent="0.25">
      <c r="C608" s="110"/>
    </row>
    <row r="609" spans="3:3" x14ac:dyDescent="0.25">
      <c r="C609" s="110"/>
    </row>
    <row r="610" spans="3:3" x14ac:dyDescent="0.25">
      <c r="C610" s="110"/>
    </row>
    <row r="611" spans="3:3" x14ac:dyDescent="0.25">
      <c r="C611" s="110"/>
    </row>
    <row r="612" spans="3:3" x14ac:dyDescent="0.25">
      <c r="C612" s="110"/>
    </row>
    <row r="613" spans="3:3" x14ac:dyDescent="0.25">
      <c r="C613" s="110"/>
    </row>
    <row r="614" spans="3:3" x14ac:dyDescent="0.25">
      <c r="C614" s="110"/>
    </row>
    <row r="615" spans="3:3" x14ac:dyDescent="0.25">
      <c r="C615" s="110"/>
    </row>
    <row r="616" spans="3:3" x14ac:dyDescent="0.25">
      <c r="C616" s="110"/>
    </row>
    <row r="617" spans="3:3" x14ac:dyDescent="0.25">
      <c r="C617" s="110"/>
    </row>
    <row r="618" spans="3:3" x14ac:dyDescent="0.25">
      <c r="C618" s="110"/>
    </row>
    <row r="619" spans="3:3" x14ac:dyDescent="0.25">
      <c r="C619" s="110"/>
    </row>
    <row r="620" spans="3:3" x14ac:dyDescent="0.25">
      <c r="C620" s="110"/>
    </row>
    <row r="621" spans="3:3" x14ac:dyDescent="0.25">
      <c r="C621" s="110"/>
    </row>
    <row r="622" spans="3:3" x14ac:dyDescent="0.25">
      <c r="C622" s="110"/>
    </row>
    <row r="623" spans="3:3" x14ac:dyDescent="0.25">
      <c r="C623" s="110"/>
    </row>
    <row r="624" spans="3:3" x14ac:dyDescent="0.25">
      <c r="C624" s="110"/>
    </row>
    <row r="625" spans="3:3" x14ac:dyDescent="0.25">
      <c r="C625" s="110"/>
    </row>
    <row r="626" spans="3:3" x14ac:dyDescent="0.25">
      <c r="C626" s="110"/>
    </row>
    <row r="627" spans="3:3" x14ac:dyDescent="0.25">
      <c r="C627" s="110"/>
    </row>
    <row r="628" spans="3:3" x14ac:dyDescent="0.25">
      <c r="C628" s="110"/>
    </row>
    <row r="629" spans="3:3" x14ac:dyDescent="0.25">
      <c r="C629" s="110"/>
    </row>
    <row r="630" spans="3:3" x14ac:dyDescent="0.25">
      <c r="C630" s="110"/>
    </row>
    <row r="631" spans="3:3" x14ac:dyDescent="0.25">
      <c r="C631" s="110"/>
    </row>
    <row r="632" spans="3:3" x14ac:dyDescent="0.25">
      <c r="C632" s="110"/>
    </row>
    <row r="633" spans="3:3" x14ac:dyDescent="0.25">
      <c r="C633" s="110"/>
    </row>
    <row r="634" spans="3:3" x14ac:dyDescent="0.25">
      <c r="C634" s="110"/>
    </row>
    <row r="635" spans="3:3" x14ac:dyDescent="0.25">
      <c r="C635" s="110"/>
    </row>
    <row r="636" spans="3:3" x14ac:dyDescent="0.25">
      <c r="C636" s="110"/>
    </row>
    <row r="637" spans="3:3" x14ac:dyDescent="0.25">
      <c r="C637" s="110"/>
    </row>
    <row r="638" spans="3:3" x14ac:dyDescent="0.25">
      <c r="C638" s="110"/>
    </row>
    <row r="639" spans="3:3" x14ac:dyDescent="0.25">
      <c r="C639" s="110"/>
    </row>
    <row r="640" spans="3:3" x14ac:dyDescent="0.25">
      <c r="C640" s="110"/>
    </row>
    <row r="641" spans="3:3" x14ac:dyDescent="0.25">
      <c r="C641" s="110"/>
    </row>
    <row r="642" spans="3:3" x14ac:dyDescent="0.25">
      <c r="C642" s="110"/>
    </row>
    <row r="643" spans="3:3" x14ac:dyDescent="0.25">
      <c r="C643" s="110"/>
    </row>
    <row r="644" spans="3:3" x14ac:dyDescent="0.25">
      <c r="C644" s="110"/>
    </row>
    <row r="645" spans="3:3" x14ac:dyDescent="0.25">
      <c r="C645" s="110"/>
    </row>
    <row r="646" spans="3:3" x14ac:dyDescent="0.25">
      <c r="C646" s="110"/>
    </row>
    <row r="647" spans="3:3" x14ac:dyDescent="0.25">
      <c r="C647" s="110"/>
    </row>
    <row r="648" spans="3:3" x14ac:dyDescent="0.25">
      <c r="C648" s="110"/>
    </row>
    <row r="649" spans="3:3" x14ac:dyDescent="0.25">
      <c r="C649" s="110"/>
    </row>
    <row r="650" spans="3:3" x14ac:dyDescent="0.25">
      <c r="C650" s="110"/>
    </row>
    <row r="651" spans="3:3" x14ac:dyDescent="0.25">
      <c r="C651" s="110"/>
    </row>
    <row r="652" spans="3:3" x14ac:dyDescent="0.25">
      <c r="C652" s="110"/>
    </row>
    <row r="653" spans="3:3" x14ac:dyDescent="0.25">
      <c r="C653" s="110"/>
    </row>
    <row r="654" spans="3:3" x14ac:dyDescent="0.25">
      <c r="C654" s="110"/>
    </row>
    <row r="655" spans="3:3" x14ac:dyDescent="0.25">
      <c r="C655" s="110"/>
    </row>
    <row r="656" spans="3:3" x14ac:dyDescent="0.25">
      <c r="C656" s="110"/>
    </row>
    <row r="657" spans="3:3" x14ac:dyDescent="0.25">
      <c r="C657" s="110"/>
    </row>
    <row r="658" spans="3:3" x14ac:dyDescent="0.25">
      <c r="C658" s="110"/>
    </row>
    <row r="659" spans="3:3" x14ac:dyDescent="0.25">
      <c r="C659" s="110"/>
    </row>
    <row r="660" spans="3:3" x14ac:dyDescent="0.25">
      <c r="C660" s="110"/>
    </row>
    <row r="661" spans="3:3" x14ac:dyDescent="0.25">
      <c r="C661" s="110"/>
    </row>
    <row r="662" spans="3:3" x14ac:dyDescent="0.25">
      <c r="C662" s="110"/>
    </row>
    <row r="663" spans="3:3" x14ac:dyDescent="0.25">
      <c r="C663" s="110"/>
    </row>
    <row r="664" spans="3:3" x14ac:dyDescent="0.25">
      <c r="C664" s="110"/>
    </row>
    <row r="665" spans="3:3" x14ac:dyDescent="0.25">
      <c r="C665" s="110"/>
    </row>
    <row r="666" spans="3:3" x14ac:dyDescent="0.25">
      <c r="C666" s="110"/>
    </row>
    <row r="667" spans="3:3" x14ac:dyDescent="0.25">
      <c r="C667" s="110"/>
    </row>
    <row r="668" spans="3:3" x14ac:dyDescent="0.25">
      <c r="C668" s="110"/>
    </row>
    <row r="669" spans="3:3" x14ac:dyDescent="0.25">
      <c r="C669" s="110"/>
    </row>
    <row r="670" spans="3:3" x14ac:dyDescent="0.25">
      <c r="C670" s="110"/>
    </row>
    <row r="671" spans="3:3" x14ac:dyDescent="0.25">
      <c r="C671" s="110"/>
    </row>
    <row r="672" spans="3:3" x14ac:dyDescent="0.25">
      <c r="C672" s="110"/>
    </row>
    <row r="673" spans="3:3" x14ac:dyDescent="0.25">
      <c r="C673" s="110"/>
    </row>
    <row r="674" spans="3:3" x14ac:dyDescent="0.25">
      <c r="C674" s="110"/>
    </row>
    <row r="675" spans="3:3" x14ac:dyDescent="0.25">
      <c r="C675" s="110"/>
    </row>
    <row r="676" spans="3:3" x14ac:dyDescent="0.25">
      <c r="C676" s="110"/>
    </row>
    <row r="677" spans="3:3" x14ac:dyDescent="0.25">
      <c r="C677" s="110"/>
    </row>
    <row r="678" spans="3:3" x14ac:dyDescent="0.25">
      <c r="C678" s="110"/>
    </row>
    <row r="679" spans="3:3" x14ac:dyDescent="0.25">
      <c r="C679" s="110"/>
    </row>
    <row r="680" spans="3:3" x14ac:dyDescent="0.25">
      <c r="C680" s="110"/>
    </row>
    <row r="681" spans="3:3" x14ac:dyDescent="0.25">
      <c r="C681" s="110"/>
    </row>
    <row r="682" spans="3:3" x14ac:dyDescent="0.25">
      <c r="C682" s="110"/>
    </row>
    <row r="683" spans="3:3" x14ac:dyDescent="0.25">
      <c r="C683" s="110"/>
    </row>
    <row r="684" spans="3:3" x14ac:dyDescent="0.25">
      <c r="C684" s="110"/>
    </row>
    <row r="685" spans="3:3" x14ac:dyDescent="0.25">
      <c r="C685" s="110"/>
    </row>
    <row r="686" spans="3:3" x14ac:dyDescent="0.25">
      <c r="C686" s="110"/>
    </row>
    <row r="687" spans="3:3" x14ac:dyDescent="0.25">
      <c r="C687" s="110"/>
    </row>
    <row r="688" spans="3:3" x14ac:dyDescent="0.25">
      <c r="C688" s="110"/>
    </row>
    <row r="689" spans="3:3" x14ac:dyDescent="0.25">
      <c r="C689" s="110"/>
    </row>
    <row r="690" spans="3:3" x14ac:dyDescent="0.25">
      <c r="C690" s="110"/>
    </row>
    <row r="691" spans="3:3" x14ac:dyDescent="0.25">
      <c r="C691" s="110"/>
    </row>
    <row r="692" spans="3:3" x14ac:dyDescent="0.25">
      <c r="C692" s="110"/>
    </row>
    <row r="693" spans="3:3" x14ac:dyDescent="0.25">
      <c r="C693" s="110"/>
    </row>
    <row r="694" spans="3:3" x14ac:dyDescent="0.25">
      <c r="C694" s="110"/>
    </row>
    <row r="695" spans="3:3" x14ac:dyDescent="0.25">
      <c r="C695" s="110"/>
    </row>
    <row r="696" spans="3:3" x14ac:dyDescent="0.25">
      <c r="C696" s="110"/>
    </row>
    <row r="697" spans="3:3" x14ac:dyDescent="0.25">
      <c r="C697" s="110"/>
    </row>
    <row r="698" spans="3:3" x14ac:dyDescent="0.25">
      <c r="C698" s="110"/>
    </row>
    <row r="699" spans="3:3" x14ac:dyDescent="0.25">
      <c r="C699" s="110"/>
    </row>
    <row r="700" spans="3:3" x14ac:dyDescent="0.25">
      <c r="C700" s="110"/>
    </row>
    <row r="701" spans="3:3" x14ac:dyDescent="0.25">
      <c r="C701" s="110"/>
    </row>
    <row r="702" spans="3:3" x14ac:dyDescent="0.25">
      <c r="C702" s="110"/>
    </row>
    <row r="703" spans="3:3" x14ac:dyDescent="0.25">
      <c r="C703" s="110"/>
    </row>
    <row r="704" spans="3:3" x14ac:dyDescent="0.25">
      <c r="C704" s="110"/>
    </row>
    <row r="705" spans="3:3" x14ac:dyDescent="0.25">
      <c r="C705" s="110"/>
    </row>
    <row r="706" spans="3:3" x14ac:dyDescent="0.25">
      <c r="C706" s="110"/>
    </row>
    <row r="707" spans="3:3" x14ac:dyDescent="0.25">
      <c r="C707" s="110"/>
    </row>
    <row r="708" spans="3:3" x14ac:dyDescent="0.25">
      <c r="C708" s="110"/>
    </row>
    <row r="709" spans="3:3" x14ac:dyDescent="0.25">
      <c r="C709" s="110"/>
    </row>
    <row r="710" spans="3:3" x14ac:dyDescent="0.25">
      <c r="C710" s="110"/>
    </row>
    <row r="711" spans="3:3" x14ac:dyDescent="0.25">
      <c r="C711" s="110"/>
    </row>
    <row r="712" spans="3:3" x14ac:dyDescent="0.25">
      <c r="C712" s="110"/>
    </row>
    <row r="713" spans="3:3" x14ac:dyDescent="0.25">
      <c r="C713" s="110"/>
    </row>
    <row r="714" spans="3:3" x14ac:dyDescent="0.25">
      <c r="C714" s="110"/>
    </row>
    <row r="715" spans="3:3" x14ac:dyDescent="0.25">
      <c r="C715" s="110"/>
    </row>
    <row r="716" spans="3:3" x14ac:dyDescent="0.25">
      <c r="C716" s="110"/>
    </row>
    <row r="717" spans="3:3" x14ac:dyDescent="0.25">
      <c r="C717" s="110"/>
    </row>
    <row r="718" spans="3:3" x14ac:dyDescent="0.25">
      <c r="C718" s="110"/>
    </row>
    <row r="719" spans="3:3" x14ac:dyDescent="0.25">
      <c r="C719" s="110"/>
    </row>
    <row r="720" spans="3:3" x14ac:dyDescent="0.25">
      <c r="C720" s="110"/>
    </row>
    <row r="721" spans="3:3" x14ac:dyDescent="0.25">
      <c r="C721" s="110"/>
    </row>
    <row r="722" spans="3:3" x14ac:dyDescent="0.25">
      <c r="C722" s="110"/>
    </row>
    <row r="723" spans="3:3" x14ac:dyDescent="0.25">
      <c r="C723" s="110"/>
    </row>
    <row r="724" spans="3:3" x14ac:dyDescent="0.25">
      <c r="C724" s="110"/>
    </row>
    <row r="725" spans="3:3" x14ac:dyDescent="0.25">
      <c r="C725" s="110"/>
    </row>
    <row r="726" spans="3:3" x14ac:dyDescent="0.25">
      <c r="C726" s="110"/>
    </row>
    <row r="727" spans="3:3" x14ac:dyDescent="0.25">
      <c r="C727" s="110"/>
    </row>
    <row r="728" spans="3:3" x14ac:dyDescent="0.25">
      <c r="C728" s="110"/>
    </row>
    <row r="729" spans="3:3" x14ac:dyDescent="0.25">
      <c r="C729" s="110"/>
    </row>
    <row r="730" spans="3:3" x14ac:dyDescent="0.25">
      <c r="C730" s="110"/>
    </row>
    <row r="731" spans="3:3" x14ac:dyDescent="0.25">
      <c r="C731" s="110"/>
    </row>
    <row r="732" spans="3:3" x14ac:dyDescent="0.25">
      <c r="C732" s="110"/>
    </row>
    <row r="733" spans="3:3" x14ac:dyDescent="0.25">
      <c r="C733" s="110"/>
    </row>
    <row r="734" spans="3:3" x14ac:dyDescent="0.25">
      <c r="C734" s="110"/>
    </row>
    <row r="735" spans="3:3" x14ac:dyDescent="0.25">
      <c r="C735" s="110"/>
    </row>
    <row r="736" spans="3:3" x14ac:dyDescent="0.25">
      <c r="C736" s="110"/>
    </row>
    <row r="737" spans="3:3" x14ac:dyDescent="0.25">
      <c r="C737" s="110"/>
    </row>
    <row r="738" spans="3:3" x14ac:dyDescent="0.25">
      <c r="C738" s="110"/>
    </row>
    <row r="739" spans="3:3" x14ac:dyDescent="0.25">
      <c r="C739" s="110"/>
    </row>
    <row r="740" spans="3:3" x14ac:dyDescent="0.25">
      <c r="C740" s="110"/>
    </row>
    <row r="741" spans="3:3" x14ac:dyDescent="0.25">
      <c r="C741" s="110"/>
    </row>
    <row r="742" spans="3:3" x14ac:dyDescent="0.25">
      <c r="C742" s="110"/>
    </row>
    <row r="743" spans="3:3" x14ac:dyDescent="0.25">
      <c r="C743" s="110"/>
    </row>
    <row r="744" spans="3:3" x14ac:dyDescent="0.25">
      <c r="C744" s="110"/>
    </row>
    <row r="745" spans="3:3" x14ac:dyDescent="0.25">
      <c r="C745" s="110"/>
    </row>
    <row r="746" spans="3:3" x14ac:dyDescent="0.25">
      <c r="C746" s="110"/>
    </row>
    <row r="747" spans="3:3" x14ac:dyDescent="0.25">
      <c r="C747" s="110"/>
    </row>
    <row r="748" spans="3:3" x14ac:dyDescent="0.25">
      <c r="C748" s="110"/>
    </row>
    <row r="749" spans="3:3" x14ac:dyDescent="0.25">
      <c r="C749" s="110"/>
    </row>
    <row r="750" spans="3:3" x14ac:dyDescent="0.25">
      <c r="C750" s="110"/>
    </row>
    <row r="751" spans="3:3" x14ac:dyDescent="0.25">
      <c r="C751" s="110"/>
    </row>
    <row r="752" spans="3:3" x14ac:dyDescent="0.25">
      <c r="C752" s="110"/>
    </row>
    <row r="753" spans="3:3" x14ac:dyDescent="0.25">
      <c r="C753" s="110"/>
    </row>
    <row r="754" spans="3:3" x14ac:dyDescent="0.25">
      <c r="C754" s="110"/>
    </row>
    <row r="755" spans="3:3" x14ac:dyDescent="0.25">
      <c r="C755" s="110"/>
    </row>
    <row r="756" spans="3:3" x14ac:dyDescent="0.25">
      <c r="C756" s="110"/>
    </row>
    <row r="757" spans="3:3" x14ac:dyDescent="0.25">
      <c r="C757" s="110"/>
    </row>
    <row r="758" spans="3:3" x14ac:dyDescent="0.25">
      <c r="C758" s="110"/>
    </row>
    <row r="759" spans="3:3" x14ac:dyDescent="0.25">
      <c r="C759" s="110"/>
    </row>
    <row r="760" spans="3:3" x14ac:dyDescent="0.25">
      <c r="C760" s="110"/>
    </row>
    <row r="761" spans="3:3" x14ac:dyDescent="0.25">
      <c r="C761" s="110"/>
    </row>
    <row r="762" spans="3:3" x14ac:dyDescent="0.25">
      <c r="C762" s="110"/>
    </row>
    <row r="763" spans="3:3" x14ac:dyDescent="0.25">
      <c r="C763" s="110"/>
    </row>
    <row r="764" spans="3:3" x14ac:dyDescent="0.25">
      <c r="C764" s="110"/>
    </row>
    <row r="765" spans="3:3" x14ac:dyDescent="0.25">
      <c r="C765" s="110"/>
    </row>
    <row r="766" spans="3:3" x14ac:dyDescent="0.25">
      <c r="C766" s="110"/>
    </row>
    <row r="767" spans="3:3" x14ac:dyDescent="0.25">
      <c r="C767" s="110"/>
    </row>
    <row r="768" spans="3:3" x14ac:dyDescent="0.25">
      <c r="C768" s="110"/>
    </row>
    <row r="769" spans="3:3" x14ac:dyDescent="0.25">
      <c r="C769" s="110"/>
    </row>
    <row r="770" spans="3:3" x14ac:dyDescent="0.25">
      <c r="C770" s="110"/>
    </row>
    <row r="771" spans="3:3" x14ac:dyDescent="0.25">
      <c r="C771" s="110"/>
    </row>
    <row r="772" spans="3:3" x14ac:dyDescent="0.25">
      <c r="C772" s="110"/>
    </row>
    <row r="773" spans="3:3" x14ac:dyDescent="0.25">
      <c r="C773" s="110"/>
    </row>
    <row r="774" spans="3:3" x14ac:dyDescent="0.25">
      <c r="C774" s="110"/>
    </row>
    <row r="775" spans="3:3" x14ac:dyDescent="0.25">
      <c r="C775" s="110"/>
    </row>
    <row r="776" spans="3:3" x14ac:dyDescent="0.25">
      <c r="C776" s="110"/>
    </row>
    <row r="777" spans="3:3" x14ac:dyDescent="0.25">
      <c r="C777" s="110"/>
    </row>
    <row r="778" spans="3:3" x14ac:dyDescent="0.25">
      <c r="C778" s="110"/>
    </row>
    <row r="779" spans="3:3" x14ac:dyDescent="0.25">
      <c r="C779" s="110"/>
    </row>
    <row r="780" spans="3:3" x14ac:dyDescent="0.25">
      <c r="C780" s="110"/>
    </row>
    <row r="781" spans="3:3" x14ac:dyDescent="0.25">
      <c r="C781" s="110"/>
    </row>
    <row r="782" spans="3:3" x14ac:dyDescent="0.25">
      <c r="C782" s="110"/>
    </row>
    <row r="783" spans="3:3" x14ac:dyDescent="0.25">
      <c r="C783" s="110"/>
    </row>
    <row r="784" spans="3:3" x14ac:dyDescent="0.25">
      <c r="C784" s="110"/>
    </row>
    <row r="785" spans="3:3" x14ac:dyDescent="0.25">
      <c r="C785" s="110"/>
    </row>
    <row r="786" spans="3:3" x14ac:dyDescent="0.25">
      <c r="C786" s="110"/>
    </row>
    <row r="787" spans="3:3" x14ac:dyDescent="0.25">
      <c r="C787" s="110"/>
    </row>
    <row r="788" spans="3:3" x14ac:dyDescent="0.25">
      <c r="C788" s="110"/>
    </row>
    <row r="789" spans="3:3" x14ac:dyDescent="0.25">
      <c r="C789" s="110"/>
    </row>
    <row r="790" spans="3:3" x14ac:dyDescent="0.25">
      <c r="C790" s="110"/>
    </row>
    <row r="791" spans="3:3" x14ac:dyDescent="0.25">
      <c r="C791" s="110"/>
    </row>
    <row r="792" spans="3:3" x14ac:dyDescent="0.25">
      <c r="C792" s="110"/>
    </row>
    <row r="793" spans="3:3" x14ac:dyDescent="0.25">
      <c r="C793" s="110"/>
    </row>
    <row r="794" spans="3:3" x14ac:dyDescent="0.25">
      <c r="C794" s="110"/>
    </row>
    <row r="795" spans="3:3" x14ac:dyDescent="0.25">
      <c r="C795" s="110"/>
    </row>
    <row r="796" spans="3:3" x14ac:dyDescent="0.25">
      <c r="C796" s="110"/>
    </row>
    <row r="797" spans="3:3" x14ac:dyDescent="0.25">
      <c r="C797" s="110"/>
    </row>
    <row r="798" spans="3:3" x14ac:dyDescent="0.25">
      <c r="C798" s="110"/>
    </row>
    <row r="799" spans="3:3" x14ac:dyDescent="0.25">
      <c r="C799" s="110"/>
    </row>
    <row r="800" spans="3:3" x14ac:dyDescent="0.25">
      <c r="C800" s="110"/>
    </row>
    <row r="801" spans="3:3" x14ac:dyDescent="0.25">
      <c r="C801" s="110"/>
    </row>
    <row r="802" spans="3:3" x14ac:dyDescent="0.25">
      <c r="C802" s="110"/>
    </row>
    <row r="803" spans="3:3" x14ac:dyDescent="0.25">
      <c r="C803" s="110"/>
    </row>
    <row r="804" spans="3:3" x14ac:dyDescent="0.25">
      <c r="C804" s="110"/>
    </row>
    <row r="805" spans="3:3" x14ac:dyDescent="0.25">
      <c r="C805" s="110"/>
    </row>
    <row r="806" spans="3:3" x14ac:dyDescent="0.25">
      <c r="C806" s="110"/>
    </row>
    <row r="807" spans="3:3" x14ac:dyDescent="0.25">
      <c r="C807" s="110"/>
    </row>
    <row r="808" spans="3:3" x14ac:dyDescent="0.25">
      <c r="C808" s="110"/>
    </row>
    <row r="809" spans="3:3" x14ac:dyDescent="0.25">
      <c r="C809" s="110"/>
    </row>
    <row r="810" spans="3:3" x14ac:dyDescent="0.25">
      <c r="C810" s="110"/>
    </row>
    <row r="811" spans="3:3" x14ac:dyDescent="0.25">
      <c r="C811" s="110"/>
    </row>
    <row r="812" spans="3:3" x14ac:dyDescent="0.25">
      <c r="C812" s="110"/>
    </row>
    <row r="813" spans="3:3" x14ac:dyDescent="0.25">
      <c r="C813" s="110"/>
    </row>
    <row r="814" spans="3:3" x14ac:dyDescent="0.25">
      <c r="C814" s="110"/>
    </row>
    <row r="815" spans="3:3" x14ac:dyDescent="0.25">
      <c r="C815" s="110"/>
    </row>
    <row r="816" spans="3:3" x14ac:dyDescent="0.25">
      <c r="C816" s="110"/>
    </row>
    <row r="817" spans="3:3" x14ac:dyDescent="0.25">
      <c r="C817" s="110"/>
    </row>
    <row r="818" spans="3:3" x14ac:dyDescent="0.25">
      <c r="C818" s="110"/>
    </row>
    <row r="819" spans="3:3" x14ac:dyDescent="0.25">
      <c r="C819" s="110"/>
    </row>
    <row r="820" spans="3:3" x14ac:dyDescent="0.25">
      <c r="C820" s="110"/>
    </row>
    <row r="821" spans="3:3" x14ac:dyDescent="0.25">
      <c r="C821" s="110"/>
    </row>
    <row r="822" spans="3:3" x14ac:dyDescent="0.25">
      <c r="C822" s="110"/>
    </row>
    <row r="823" spans="3:3" x14ac:dyDescent="0.25">
      <c r="C823" s="110"/>
    </row>
    <row r="824" spans="3:3" x14ac:dyDescent="0.25">
      <c r="C824" s="110"/>
    </row>
    <row r="825" spans="3:3" x14ac:dyDescent="0.25">
      <c r="C825" s="110"/>
    </row>
    <row r="826" spans="3:3" x14ac:dyDescent="0.25">
      <c r="C826" s="110"/>
    </row>
    <row r="827" spans="3:3" x14ac:dyDescent="0.25">
      <c r="C827" s="110"/>
    </row>
    <row r="828" spans="3:3" x14ac:dyDescent="0.25">
      <c r="C828" s="110"/>
    </row>
    <row r="829" spans="3:3" x14ac:dyDescent="0.25">
      <c r="C829" s="110"/>
    </row>
    <row r="830" spans="3:3" x14ac:dyDescent="0.25">
      <c r="C830" s="110"/>
    </row>
    <row r="831" spans="3:3" x14ac:dyDescent="0.25">
      <c r="C831" s="110"/>
    </row>
    <row r="832" spans="3:3" x14ac:dyDescent="0.25">
      <c r="C832" s="110"/>
    </row>
    <row r="833" spans="3:3" x14ac:dyDescent="0.25">
      <c r="C833" s="110"/>
    </row>
    <row r="834" spans="3:3" x14ac:dyDescent="0.25">
      <c r="C834" s="110"/>
    </row>
    <row r="835" spans="3:3" x14ac:dyDescent="0.25">
      <c r="C835" s="110"/>
    </row>
    <row r="836" spans="3:3" x14ac:dyDescent="0.25">
      <c r="C836" s="110"/>
    </row>
    <row r="837" spans="3:3" x14ac:dyDescent="0.25">
      <c r="C837" s="110"/>
    </row>
    <row r="838" spans="3:3" x14ac:dyDescent="0.25">
      <c r="C838" s="110"/>
    </row>
    <row r="839" spans="3:3" x14ac:dyDescent="0.25">
      <c r="C839" s="110"/>
    </row>
    <row r="840" spans="3:3" x14ac:dyDescent="0.25">
      <c r="C840" s="110"/>
    </row>
    <row r="841" spans="3:3" x14ac:dyDescent="0.25">
      <c r="C841" s="110"/>
    </row>
    <row r="842" spans="3:3" x14ac:dyDescent="0.25">
      <c r="C842" s="110"/>
    </row>
    <row r="843" spans="3:3" x14ac:dyDescent="0.25">
      <c r="C843" s="110"/>
    </row>
    <row r="844" spans="3:3" x14ac:dyDescent="0.25">
      <c r="C844" s="110"/>
    </row>
    <row r="845" spans="3:3" x14ac:dyDescent="0.25">
      <c r="C845" s="110"/>
    </row>
    <row r="846" spans="3:3" x14ac:dyDescent="0.25">
      <c r="C846" s="110"/>
    </row>
    <row r="847" spans="3:3" x14ac:dyDescent="0.25">
      <c r="C847" s="110"/>
    </row>
    <row r="848" spans="3:3" x14ac:dyDescent="0.25">
      <c r="C848" s="110"/>
    </row>
    <row r="849" spans="3:3" x14ac:dyDescent="0.25">
      <c r="C849" s="110"/>
    </row>
    <row r="850" spans="3:3" x14ac:dyDescent="0.25">
      <c r="C850" s="110"/>
    </row>
    <row r="851" spans="3:3" x14ac:dyDescent="0.25">
      <c r="C851" s="110"/>
    </row>
    <row r="852" spans="3:3" x14ac:dyDescent="0.25">
      <c r="C852" s="110"/>
    </row>
    <row r="853" spans="3:3" x14ac:dyDescent="0.25">
      <c r="C853" s="110"/>
    </row>
    <row r="854" spans="3:3" x14ac:dyDescent="0.25">
      <c r="C854" s="110"/>
    </row>
    <row r="855" spans="3:3" x14ac:dyDescent="0.25">
      <c r="C855" s="110"/>
    </row>
    <row r="856" spans="3:3" x14ac:dyDescent="0.25">
      <c r="C856" s="110"/>
    </row>
    <row r="857" spans="3:3" x14ac:dyDescent="0.25">
      <c r="C857" s="110"/>
    </row>
    <row r="858" spans="3:3" x14ac:dyDescent="0.25">
      <c r="C858" s="110"/>
    </row>
    <row r="859" spans="3:3" x14ac:dyDescent="0.25">
      <c r="C859" s="110"/>
    </row>
    <row r="860" spans="3:3" x14ac:dyDescent="0.25">
      <c r="C860" s="110"/>
    </row>
    <row r="861" spans="3:3" x14ac:dyDescent="0.25">
      <c r="C861" s="110"/>
    </row>
    <row r="862" spans="3:3" x14ac:dyDescent="0.25">
      <c r="C862" s="110"/>
    </row>
    <row r="863" spans="3:3" x14ac:dyDescent="0.25">
      <c r="C863" s="110"/>
    </row>
    <row r="864" spans="3:3" x14ac:dyDescent="0.25">
      <c r="C864" s="110"/>
    </row>
    <row r="865" spans="3:3" x14ac:dyDescent="0.25">
      <c r="C865" s="110"/>
    </row>
    <row r="866" spans="3:3" x14ac:dyDescent="0.25">
      <c r="C866" s="110"/>
    </row>
    <row r="867" spans="3:3" x14ac:dyDescent="0.25">
      <c r="C867" s="110"/>
    </row>
    <row r="868" spans="3:3" x14ac:dyDescent="0.25">
      <c r="C868" s="110"/>
    </row>
    <row r="869" spans="3:3" x14ac:dyDescent="0.25">
      <c r="C869" s="110"/>
    </row>
    <row r="870" spans="3:3" x14ac:dyDescent="0.25">
      <c r="C870" s="110"/>
    </row>
    <row r="871" spans="3:3" x14ac:dyDescent="0.25">
      <c r="C871" s="110"/>
    </row>
    <row r="872" spans="3:3" x14ac:dyDescent="0.25">
      <c r="C872" s="110"/>
    </row>
    <row r="873" spans="3:3" x14ac:dyDescent="0.25">
      <c r="C873" s="110"/>
    </row>
    <row r="874" spans="3:3" x14ac:dyDescent="0.25">
      <c r="C874" s="110"/>
    </row>
    <row r="875" spans="3:3" x14ac:dyDescent="0.25">
      <c r="C875" s="110"/>
    </row>
    <row r="876" spans="3:3" x14ac:dyDescent="0.25">
      <c r="C876" s="110"/>
    </row>
    <row r="877" spans="3:3" x14ac:dyDescent="0.25">
      <c r="C877" s="110"/>
    </row>
    <row r="878" spans="3:3" x14ac:dyDescent="0.25">
      <c r="C878" s="110"/>
    </row>
    <row r="879" spans="3:3" x14ac:dyDescent="0.25">
      <c r="C879" s="110"/>
    </row>
    <row r="880" spans="3:3" x14ac:dyDescent="0.25">
      <c r="C880" s="110"/>
    </row>
    <row r="881" spans="3:3" x14ac:dyDescent="0.25">
      <c r="C881" s="110"/>
    </row>
    <row r="882" spans="3:3" x14ac:dyDescent="0.25">
      <c r="C882" s="110"/>
    </row>
    <row r="883" spans="3:3" x14ac:dyDescent="0.25">
      <c r="C883" s="110"/>
    </row>
    <row r="884" spans="3:3" x14ac:dyDescent="0.25">
      <c r="C884" s="110"/>
    </row>
    <row r="885" spans="3:3" x14ac:dyDescent="0.25">
      <c r="C885" s="110"/>
    </row>
    <row r="886" spans="3:3" x14ac:dyDescent="0.25">
      <c r="C886" s="110"/>
    </row>
    <row r="887" spans="3:3" x14ac:dyDescent="0.25">
      <c r="C887" s="110"/>
    </row>
    <row r="888" spans="3:3" x14ac:dyDescent="0.25">
      <c r="C888" s="110"/>
    </row>
    <row r="889" spans="3:3" x14ac:dyDescent="0.25">
      <c r="C889" s="110"/>
    </row>
    <row r="890" spans="3:3" x14ac:dyDescent="0.25">
      <c r="C890" s="110"/>
    </row>
    <row r="891" spans="3:3" x14ac:dyDescent="0.25">
      <c r="C891" s="110"/>
    </row>
    <row r="892" spans="3:3" x14ac:dyDescent="0.25">
      <c r="C892" s="110"/>
    </row>
    <row r="893" spans="3:3" x14ac:dyDescent="0.25">
      <c r="C893" s="110"/>
    </row>
    <row r="894" spans="3:3" x14ac:dyDescent="0.25">
      <c r="C894" s="110"/>
    </row>
    <row r="895" spans="3:3" x14ac:dyDescent="0.25">
      <c r="C895" s="110"/>
    </row>
    <row r="896" spans="3:3" x14ac:dyDescent="0.25">
      <c r="C896" s="110"/>
    </row>
    <row r="897" spans="3:3" x14ac:dyDescent="0.25">
      <c r="C897" s="110"/>
    </row>
    <row r="898" spans="3:3" x14ac:dyDescent="0.25">
      <c r="C898" s="110"/>
    </row>
    <row r="899" spans="3:3" x14ac:dyDescent="0.25">
      <c r="C899" s="110"/>
    </row>
    <row r="900" spans="3:3" x14ac:dyDescent="0.25">
      <c r="C900" s="110"/>
    </row>
    <row r="901" spans="3:3" x14ac:dyDescent="0.25">
      <c r="C901" s="110"/>
    </row>
    <row r="902" spans="3:3" x14ac:dyDescent="0.25">
      <c r="C902" s="110"/>
    </row>
    <row r="903" spans="3:3" x14ac:dyDescent="0.25">
      <c r="C903" s="110"/>
    </row>
    <row r="904" spans="3:3" x14ac:dyDescent="0.25">
      <c r="C904" s="110"/>
    </row>
    <row r="905" spans="3:3" x14ac:dyDescent="0.25">
      <c r="C905" s="110"/>
    </row>
    <row r="906" spans="3:3" x14ac:dyDescent="0.25">
      <c r="C906" s="110"/>
    </row>
    <row r="907" spans="3:3" x14ac:dyDescent="0.25">
      <c r="C907" s="110"/>
    </row>
    <row r="908" spans="3:3" x14ac:dyDescent="0.25">
      <c r="C908" s="110"/>
    </row>
    <row r="909" spans="3:3" x14ac:dyDescent="0.25">
      <c r="C909" s="110"/>
    </row>
    <row r="910" spans="3:3" x14ac:dyDescent="0.25">
      <c r="C910" s="110"/>
    </row>
    <row r="911" spans="3:3" x14ac:dyDescent="0.25">
      <c r="C911" s="110"/>
    </row>
    <row r="912" spans="3:3" x14ac:dyDescent="0.25">
      <c r="C912" s="110"/>
    </row>
    <row r="913" spans="3:3" x14ac:dyDescent="0.25">
      <c r="C913" s="110"/>
    </row>
    <row r="914" spans="3:3" x14ac:dyDescent="0.25">
      <c r="C914" s="110"/>
    </row>
    <row r="915" spans="3:3" x14ac:dyDescent="0.25">
      <c r="C915" s="110"/>
    </row>
    <row r="916" spans="3:3" x14ac:dyDescent="0.25">
      <c r="C916" s="110"/>
    </row>
    <row r="917" spans="3:3" x14ac:dyDescent="0.25">
      <c r="C917" s="110"/>
    </row>
    <row r="918" spans="3:3" x14ac:dyDescent="0.25">
      <c r="C918" s="110"/>
    </row>
    <row r="919" spans="3:3" x14ac:dyDescent="0.25">
      <c r="C919" s="110"/>
    </row>
    <row r="920" spans="3:3" x14ac:dyDescent="0.25">
      <c r="C920" s="110"/>
    </row>
    <row r="921" spans="3:3" x14ac:dyDescent="0.25">
      <c r="C921" s="110"/>
    </row>
    <row r="922" spans="3:3" x14ac:dyDescent="0.25">
      <c r="C922" s="110"/>
    </row>
    <row r="923" spans="3:3" x14ac:dyDescent="0.25">
      <c r="C923" s="110"/>
    </row>
    <row r="924" spans="3:3" x14ac:dyDescent="0.25">
      <c r="C924" s="110"/>
    </row>
    <row r="925" spans="3:3" x14ac:dyDescent="0.25">
      <c r="C925" s="110"/>
    </row>
    <row r="926" spans="3:3" x14ac:dyDescent="0.25">
      <c r="C926" s="110"/>
    </row>
    <row r="927" spans="3:3" x14ac:dyDescent="0.25">
      <c r="C927" s="110"/>
    </row>
    <row r="928" spans="3:3" x14ac:dyDescent="0.25">
      <c r="C928" s="110"/>
    </row>
    <row r="929" spans="3:3" x14ac:dyDescent="0.25">
      <c r="C929" s="110"/>
    </row>
    <row r="930" spans="3:3" x14ac:dyDescent="0.25">
      <c r="C930" s="110"/>
    </row>
    <row r="931" spans="3:3" x14ac:dyDescent="0.25">
      <c r="C931" s="110"/>
    </row>
    <row r="932" spans="3:3" x14ac:dyDescent="0.25">
      <c r="C932" s="110"/>
    </row>
    <row r="933" spans="3:3" x14ac:dyDescent="0.25">
      <c r="C933" s="110"/>
    </row>
  </sheetData>
  <autoFilter ref="A3:H468"/>
  <conditionalFormatting sqref="C1 C3:C1048576">
    <cfRule type="duplicateValues" dxfId="4" priority="4"/>
  </conditionalFormatting>
  <conditionalFormatting sqref="D471">
    <cfRule type="duplicateValues" dxfId="3" priority="3"/>
  </conditionalFormatting>
  <conditionalFormatting sqref="D470">
    <cfRule type="duplicateValues" dxfId="2" priority="2"/>
  </conditionalFormatting>
  <conditionalFormatting sqref="H352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2013-07-22T14:57:55Z</cp:lastPrinted>
  <dcterms:created xsi:type="dcterms:W3CDTF">2010-04-23T14:29:34Z</dcterms:created>
  <dcterms:modified xsi:type="dcterms:W3CDTF">2013-08-30T12:03:02Z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